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6795" activeTab="6"/>
  </bookViews>
  <sheets>
    <sheet name="Cover" sheetId="1" r:id="rId1"/>
    <sheet name="Page 1" sheetId="2" r:id="rId2"/>
    <sheet name="Page 2" sheetId="3" r:id="rId3"/>
    <sheet name="Page 3" sheetId="4" r:id="rId4"/>
    <sheet name="Page 4" sheetId="5" r:id="rId5"/>
    <sheet name="Page 5" sheetId="6" r:id="rId6"/>
    <sheet name="Budget Summary" sheetId="7" r:id="rId7"/>
    <sheet name="Instructions" sheetId="8" r:id="rId8"/>
  </sheets>
  <externalReferences>
    <externalReference r:id="rId11"/>
  </externalReferences>
  <definedNames>
    <definedName name="_Order1" hidden="1">255</definedName>
    <definedName name="BudgetSummary">'Instructions'!$C$22</definedName>
    <definedName name="CA0191Land">'Page 2'!$E$38</definedName>
    <definedName name="CA0192SiteImprovements">'Page 2'!$E$39</definedName>
    <definedName name="CA0194Buildings">'Page 2'!$E$40</definedName>
    <definedName name="CA0196Equipment">'Page 2'!$E$41</definedName>
    <definedName name="CA0198CIP">'Page 2'!$E$42</definedName>
    <definedName name="CAK3Reading">'Page 2'!$E$45</definedName>
    <definedName name="CapitalAcquisitions">'Instructions'!$C$12</definedName>
    <definedName name="CIP1072P265F1000">'Page 5'!$N$30</definedName>
    <definedName name="CIP1072P265F1000PPL">'Page 5'!$G$30</definedName>
    <definedName name="CIP1072P265F2100">'Page 5'!$N$32</definedName>
    <definedName name="CIP1072P265F2100PPL">'Page 5'!$G$32</definedName>
    <definedName name="CIP1072P265F2200">'Page 5'!$N$33</definedName>
    <definedName name="CIP1072P265F2200PPL">'Page 5'!$G$33</definedName>
    <definedName name="CIP1072P265F2300">'Page 5'!$N$34</definedName>
    <definedName name="CIP1072P265F2300PPL">'Page 5'!$G$34</definedName>
    <definedName name="CIP1072P265F2400">'Page 5'!$N$35</definedName>
    <definedName name="CIP1072P265F2400PPL">'Page 5'!$G$35</definedName>
    <definedName name="CIP1072P265F2500">'Page 5'!$N$36</definedName>
    <definedName name="CIP1072P265F2500PPL">'Page 5'!$G$36</definedName>
    <definedName name="CIP1072P265F2600">'Page 5'!$N$37</definedName>
    <definedName name="CIP1072P265F2600PPL">'Page 5'!$G$37</definedName>
    <definedName name="CIP1072P265F2900">'Page 5'!$N$38</definedName>
    <definedName name="CIP1072P265F2900PPL">'Page 5'!$G$38</definedName>
    <definedName name="CIP1072P435F2700">'Page 5'!$N$42</definedName>
    <definedName name="CIP1072P435F2700PPL">'Page 5'!$G$42</definedName>
    <definedName name="CoverGen">'Instructions'!$C$2</definedName>
    <definedName name="CoverGen1">'Instructions'!$C$2</definedName>
    <definedName name="CSP1011P100F1000">'Page 3'!$I$9</definedName>
    <definedName name="CSP1011P100F2100">'Page 3'!$I$10</definedName>
    <definedName name="CSP1011P100F2200">'Page 3'!$I$11</definedName>
    <definedName name="CSP1011P200F1000">'Page 3'!$I$14</definedName>
    <definedName name="CSP1011P200F2100">'Page 3'!$I$15</definedName>
    <definedName name="CSP1011P200F2200">'Page 3'!$I$16</definedName>
    <definedName name="CSP1011POtherF1000">'Page 3'!$I$19</definedName>
    <definedName name="CSP1011POtherF2100">'Page 3'!$I$20</definedName>
    <definedName name="CSP1011POtherF2200">'Page 3'!$I$21</definedName>
    <definedName name="CSP1012P100F1000">'Page 3'!$I$26</definedName>
    <definedName name="CSP1012P100F2100">'Page 3'!$I$27</definedName>
    <definedName name="CSP1012P100F2200">'Page 3'!$I$28</definedName>
    <definedName name="CSP1012P200F1000">'Page 3'!$I$31</definedName>
    <definedName name="CSP1012P200F2100">'Page 3'!$I$32</definedName>
    <definedName name="CSP1012P200F2200">'Page 3'!$I$33</definedName>
    <definedName name="CSP1012POtherF1000">'Page 3'!$I$36</definedName>
    <definedName name="CSP1012POtherF2100">'Page 3'!$I$37</definedName>
    <definedName name="CSP1012POtherF2200">'Page 3'!$I$38</definedName>
    <definedName name="CSP1013P100F1000">'Page 4'!$K$11</definedName>
    <definedName name="CSP1013P100F2100">'Page 4'!$K$12</definedName>
    <definedName name="CSP1013P100F2200">'Page 4'!$K$13</definedName>
    <definedName name="CSP1013P200F1000">'Page 4'!$K$16</definedName>
    <definedName name="CSP1013P200F2100">'Page 4'!$K$17</definedName>
    <definedName name="CSP1013P200F2200">'Page 4'!$K$18</definedName>
    <definedName name="CSP1013P530F1000">'Page 4'!$K$21</definedName>
    <definedName name="CSP1013POtherF1000">'Page 4'!$K$23</definedName>
    <definedName name="CSP1013POtherF21002200">'Page 4'!$K$24</definedName>
    <definedName name="CTD">'Cover'!$R$1</definedName>
    <definedName name="CTDSNumber">'Instructions'!$C$3</definedName>
    <definedName name="EmployeeBenefits">'Instructions'!$C$2</definedName>
    <definedName name="EstimatedRevenues">'Instructions'!$C$5</definedName>
    <definedName name="FederalandStateProjectsTotal">'Page 2'!$E$35</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00Charter">'Page 2'!$E$19</definedName>
    <definedName name="FP13101399Other">'Page 2'!$E$20</definedName>
    <definedName name="FP1420ExtendedSchool">'Page 2'!$E$25</definedName>
    <definedName name="IIPClassSizeReduction">'Page 4'!$H$35</definedName>
    <definedName name="IIPDropoutPreventionPrograms">'Page 4'!$H$36</definedName>
    <definedName name="IIPInstructionalImprovementPrograms">'Page 4'!$H$37</definedName>
    <definedName name="IIPTeacherCompensationIncreases">'Page 4'!$H$34</definedName>
    <definedName name="P200Autism">'Page 2'!$N$5</definedName>
    <definedName name="P200AutismCY">'Page 2'!$M$5</definedName>
    <definedName name="P200CareerEducation">'Page 2'!$N$25</definedName>
    <definedName name="P200CareerEducationCY">'Page 2'!$M$25</definedName>
    <definedName name="P200DevelopmentalDelay">'Page 2'!$N$6</definedName>
    <definedName name="P200DevelopmentalDelayCY">'Page 2'!$M$6</definedName>
    <definedName name="P200ELLCompensatoryInstruction">'Page 2'!$N$22</definedName>
    <definedName name="P200ELLCompensatoryInstructionCY">'Page 2'!$M$22</definedName>
    <definedName name="P200ELLIncrementalCosts">'Page 2'!$N$21</definedName>
    <definedName name="P200ELLIncrementalCostsCY">'Page 2'!$M$21</definedName>
    <definedName name="P200EmotionalDisability">'Page 2'!$N$7</definedName>
    <definedName name="P200EmotionalDisabilityCY">'Page 2'!$M$7</definedName>
    <definedName name="P200GiftedEducation">'Page 2'!$N$20</definedName>
    <definedName name="P200GiftedEducationCY">'Page 2'!$M$20</definedName>
    <definedName name="P200HearingImpairment">'Page 2'!$N$8</definedName>
    <definedName name="P200HearingImpairmentCY">'Page 2'!$M$8</definedName>
    <definedName name="P200MildModerateorSevereID">'Page 2'!$N$11</definedName>
    <definedName name="P200MildModerateOrSevereIDCY">'Page 2'!$M$11</definedName>
    <definedName name="P200MultipleDisabilities">'Page 2'!$N$12</definedName>
    <definedName name="P200MultipleDisabilitiesCY">'Page 2'!$M$12</definedName>
    <definedName name="P200MultipleDisabilitieswithSSI">'Page 2'!$N$13</definedName>
    <definedName name="P200MultipleDisabilitieswithSSICY">'Page 2'!$M$13</definedName>
    <definedName name="P200OrthopedicImpairment">'Page 2'!$N$14</definedName>
    <definedName name="P200OrthopedicImpairmentCY">'Page 2'!$M$14</definedName>
    <definedName name="P200OtherHealthImpairments">'Page 2'!$N$9</definedName>
    <definedName name="P200OtherHealthImpairmentsCY">'Page 2'!$M$9</definedName>
    <definedName name="P200PreschoolSevereDelay">'Page 2'!$N$15</definedName>
    <definedName name="P200RemedialEducation">'Page 2'!$N$23</definedName>
    <definedName name="P200RemedialEducationCY">'Page 2'!$M$23</definedName>
    <definedName name="P200SpecificLearningDisability">'Page 2'!$N$10</definedName>
    <definedName name="P200SpecificLearningDisabilityCY">'Page 2'!$M$10</definedName>
    <definedName name="P200SpeechLanguageImpairment">'Page 2'!$N$16</definedName>
    <definedName name="P200SpeechLanguageImpairmentCY">'Page 2'!$M$16</definedName>
    <definedName name="P200TraumaticBrainInjury">'Page 2'!$N$17</definedName>
    <definedName name="P200TraumaticBrainInjuryCY">'Page 2'!$M$17</definedName>
    <definedName name="P200VisualImpairment">'Page 2'!$N$18</definedName>
    <definedName name="P200VisualImpairmentCY">'Page 2'!$M$18</definedName>
    <definedName name="P200VocationalandTechnologicalEd">'Page 2'!$N$24</definedName>
    <definedName name="P200VocationalandTechnologicalEdCY">'Page 2'!$M$24</definedName>
    <definedName name="Pg1EmployeeBenefits">'Instructions'!$C$10</definedName>
    <definedName name="Pg1General">'Instructions'!$C$6</definedName>
    <definedName name="Pg1Line38">'Instructions'!$C$9</definedName>
    <definedName name="Pg1Program200and300">'Instructions'!$C$7</definedName>
    <definedName name="Pg1Program550">'Instructions'!$C$8</definedName>
    <definedName name="Pg2ExpensesByType">'Instructions'!$C$15</definedName>
    <definedName name="Pg2Line22">'Instructions'!$C$14</definedName>
    <definedName name="Pg2SpecialEd">'Instructions'!$C$13</definedName>
    <definedName name="Pg2StateEqualAssist">'Instructions'!$C$16</definedName>
    <definedName name="Pg4InstructionalImprovementProj">'Instructions'!$C$18</definedName>
    <definedName name="Pg4Lines3and4">'Instructions'!$C$19</definedName>
    <definedName name="Pg5CompensatoryInstructionProj">'Instructions'!$C$21</definedName>
    <definedName name="Pg5StructuredEnglishImmersionProj">'Instructions'!$C$20</definedName>
    <definedName name="Pgs3and4ClassroomSiteProj">'Instructions'!$C$17</definedName>
    <definedName name="_xlnm.Print_Area" localSheetId="6">'Budget Summary'!$A$1:$M$48</definedName>
    <definedName name="_xlnm.Print_Area" localSheetId="0">'Cover'!$A$1:$R$42</definedName>
    <definedName name="_xlnm.Print_Area" localSheetId="1">'Page 1'!$A$1:$N$51</definedName>
    <definedName name="_xlnm.Print_Area" localSheetId="2">'Page 2'!$A$1:$O$45</definedName>
    <definedName name="_xlnm.Print_Area" localSheetId="3">'Page 3'!$A$1:$K$40</definedName>
    <definedName name="_xlnm.Print_Area" localSheetId="4">'Page 4'!$A$1:$M$43</definedName>
    <definedName name="_xlnm.Print_Area" localSheetId="5">'Page 5'!$A$1:$P$43</definedName>
    <definedName name="_xlnm.Print_Area">'Page 5'!$A$1:$P$43</definedName>
    <definedName name="_xlnm.Print_Titles" localSheetId="7">'Instructions'!$1:$1</definedName>
    <definedName name="SEIP1071P260F1000">'Page 5'!$N$9</definedName>
    <definedName name="SEIP1071P260F1000PPL">'Page 5'!$G$9</definedName>
    <definedName name="SEIP1071P260F2100">'Page 5'!$N$11</definedName>
    <definedName name="SEIP1071P260F2100PPL">'Page 5'!$G$11</definedName>
    <definedName name="SEIP1071P260F2200">'Page 5'!$N$12</definedName>
    <definedName name="SEIP1071P260F2200PPL">'Page 5'!$G$12</definedName>
    <definedName name="SEIP1071P260F2300">'Page 5'!$N$13</definedName>
    <definedName name="SEIP1071P260F2300PPL">'Page 5'!$G$13</definedName>
    <definedName name="SEIP1071P260F2400">'Page 5'!$N$14</definedName>
    <definedName name="SEIP1071P260F2400PPL">'Page 5'!$G$14</definedName>
    <definedName name="SEIP1071P260F2500">'Page 5'!$N$15</definedName>
    <definedName name="SEIP1071P260F2500PPL">'Page 5'!$G$15</definedName>
    <definedName name="SEIP1071P260F2600">'Page 5'!$N$16</definedName>
    <definedName name="SEIP1071P260F2600PPL">'Page 5'!$G$16</definedName>
    <definedName name="SEIP1071P260F2900">'Page 5'!$N$17</definedName>
    <definedName name="SEIP1071P260F2900PPL">'Page 5'!$G$17</definedName>
    <definedName name="SEIP1071P430F2700">'Page 5'!$N$21</definedName>
    <definedName name="SEIP1071P430F2700PPL">'Page 5'!$G$21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1'!$L$49</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300">'Page 1'!$L$38</definedName>
    <definedName name="SP1000P300CY">'Page 1'!$K$38</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StudentSuccessProj">'Page 1'!$L$48</definedName>
    <definedName name="SP1000Total">'Page 1'!$L$43</definedName>
    <definedName name="SP1000TotalCY">'Page 1'!$K$43</definedName>
    <definedName name="SP1400VocEd">'Page 2'!$E$23</definedName>
    <definedName name="SP1410EarlyChildhoodBlockGrant">'Page 2'!$E$24</definedName>
    <definedName name="SP1425AdultBasicEd">'Page 2'!$E$26</definedName>
    <definedName name="SP1430ChemicalAbuse">'Page 2'!$E$27</definedName>
    <definedName name="SP1435AcademicContests">'Page 2'!$E$28</definedName>
    <definedName name="SP1450GiftedEd">'Page 2'!$E$29</definedName>
    <definedName name="SP1455FamilyLiteracy">'Page 2'!$E$30</definedName>
    <definedName name="SP1460EnvironmentalSpecialPlate">'Page 2'!$E$31</definedName>
    <definedName name="SP1465CharterSchool">'Page 2'!$E$32</definedName>
    <definedName name="TotalCapitalAcquisitions">'Page 2'!$E$43</definedName>
    <definedName name="TotalCapitalAcquisitionsCY">'Page 2'!$D$43</definedName>
    <definedName name="TotalCIP">'Page 5'!$N$43</definedName>
    <definedName name="TotalCIP6100">'Page 5'!$H$43</definedName>
    <definedName name="TotalCIP6200">'Page 5'!$I$43</definedName>
    <definedName name="TotalCIP630064006500">'Page 5'!$J$43</definedName>
    <definedName name="TotalCIP6600">'Page 5'!$K$43</definedName>
    <definedName name="TotalCIP6800">'Page 5'!$L$43</definedName>
    <definedName name="TotalCSP6100">'Page 4'!$F$27</definedName>
    <definedName name="TotalCSP6200">'Page 4'!$G$27</definedName>
    <definedName name="TotalCSP630064006500">'Page 4'!$H$27</definedName>
    <definedName name="TotalCSP6600">'Page 4'!$I$27</definedName>
    <definedName name="TotalFederalAndStateProjects">'Instructions'!$C$11</definedName>
    <definedName name="TotalFederalProjects">'Page 2'!$E$21</definedName>
    <definedName name="TotalFederalProjectsCY">'Page 2'!$D$21</definedName>
    <definedName name="TotalInstructionalImprovement">'Page 4'!$H$38</definedName>
    <definedName name="TotalSEIP">'Page 5'!$N$22</definedName>
    <definedName name="TotalSEIP6100">'Page 5'!$H$22</definedName>
    <definedName name="TotalSEIP6200">'Page 5'!$I$22</definedName>
    <definedName name="TotalSEIP630064006500">'Page 5'!$J$22</definedName>
    <definedName name="TotalSEIP6600">'Page 5'!$K$22</definedName>
    <definedName name="TotalSEIP6800">'Page 5'!$L$22</definedName>
    <definedName name="TotalStateProjects">'Page 2'!$E$34</definedName>
    <definedName name="TotalStateProjectsCY">'Page 2'!$D$34</definedName>
    <definedName name="Version">'Instructions'!$C$4</definedName>
  </definedNames>
  <calcPr fullCalcOnLoad="1" fullPrecision="0"/>
</workbook>
</file>

<file path=xl/sharedStrings.xml><?xml version="1.0" encoding="utf-8"?>
<sst xmlns="http://schemas.openxmlformats.org/spreadsheetml/2006/main" count="556" uniqueCount="328">
  <si>
    <t>CHARTER SCHOOL</t>
  </si>
  <si>
    <t>COUNTY</t>
  </si>
  <si>
    <t>STATE OF ARIZONA</t>
  </si>
  <si>
    <t>CHARTER SCHOOL ANNUAL BUDGET</t>
  </si>
  <si>
    <t>REVENUES</t>
  </si>
  <si>
    <t>(This section not applicable to budget revisions)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</si>
  <si>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</si>
  <si>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</si>
  <si>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</si>
  <si>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</si>
  <si>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</si>
  <si>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</si>
  <si>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</si>
  <si>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</si>
  <si>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</si>
  <si>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</si>
  <si>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</si>
  <si>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</si>
  <si>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</si>
  <si>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</si>
  <si>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</si>
  <si>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</si>
  <si>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</si>
  <si>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</si>
  <si>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</si>
  <si>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</si>
  <si>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</si>
  <si>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</si>
  <si>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</si>
  <si>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</si>
  <si>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</si>
  <si>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</si>
  <si>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</si>
  <si>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</si>
  <si>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</si>
  <si>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Autism</t>
  </si>
  <si>
    <t>Emotional Disability</t>
  </si>
  <si>
    <t>Hearing Impairment</t>
  </si>
  <si>
    <t>Other Health Impairments</t>
  </si>
  <si>
    <t>Specific Learning Disability</t>
  </si>
  <si>
    <t>Multiple Disabilities</t>
  </si>
  <si>
    <t>Orthopedic Impairment</t>
  </si>
  <si>
    <t>Speech/Language Impairment</t>
  </si>
  <si>
    <t>Traumatic Brain Injury</t>
  </si>
  <si>
    <t>Visual Impairment</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</si>
  <si>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</si>
  <si>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</si>
  <si>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</si>
  <si>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</si>
  <si>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</si>
  <si>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</si>
  <si>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</si>
  <si>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</si>
  <si>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</si>
  <si>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</si>
  <si>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</si>
  <si>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</si>
  <si>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</si>
  <si>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</si>
  <si>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</si>
  <si>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</si>
  <si>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</si>
  <si>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</si>
  <si>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</si>
  <si>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</si>
  <si>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</si>
  <si>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</si>
  <si>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</si>
  <si>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</si>
  <si>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</si>
  <si>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</si>
  <si>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</si>
  <si>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</si>
  <si>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</si>
  <si>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</si>
  <si>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</si>
  <si>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</si>
  <si>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</si>
  <si>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</si>
  <si>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</si>
  <si>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</si>
  <si>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</si>
  <si>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</si>
  <si>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</si>
  <si>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</si>
  <si>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</si>
  <si>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</si>
  <si>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</si>
  <si>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</si>
  <si>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</si>
  <si>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</si>
  <si>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</si>
  <si>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</si>
  <si>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</si>
  <si>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</si>
  <si>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</si>
  <si>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</si>
  <si>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School Official</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</si>
  <si>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</si>
  <si>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</si>
  <si>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</si>
  <si>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</si>
  <si>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</si>
  <si>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</si>
  <si>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</si>
  <si>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</si>
  <si>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</si>
  <si>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</si>
  <si>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</si>
  <si>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</si>
  <si>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</si>
  <si>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</si>
  <si>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</si>
  <si>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</si>
  <si>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</si>
  <si>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</si>
  <si>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</si>
  <si>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</si>
  <si>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</si>
  <si>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</si>
  <si>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</si>
  <si>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</si>
  <si>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</si>
  <si>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</si>
  <si>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</si>
  <si>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</si>
  <si>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</si>
  <si>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</si>
  <si>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</si>
  <si>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</si>
  <si>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</si>
  <si>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</si>
  <si>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</si>
  <si>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</si>
  <si>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</si>
  <si>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</si>
  <si>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</si>
  <si>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</si>
  <si>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</si>
  <si>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</si>
  <si>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</si>
  <si>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</si>
  <si>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</si>
  <si>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</si>
  <si>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</si>
  <si>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Total Expenses (lines 4, 8, 9, and 12)</t>
  </si>
  <si>
    <t>1240  Workforce Investment Act</t>
  </si>
  <si>
    <t>Total Federal Projects (lines 1-16)</t>
  </si>
  <si>
    <t>Teacher Compensation Increases</t>
  </si>
  <si>
    <t>Class Size Reduction</t>
  </si>
  <si>
    <t xml:space="preserve">Indicate amounts budgeted in Project 1020 for the following: </t>
  </si>
  <si>
    <t>Total Instructional Improvement (lines 1-4)</t>
  </si>
  <si>
    <t xml:space="preserve">Other Programs Subtotal (lines 10-11) </t>
  </si>
  <si>
    <t>Telephone:</t>
  </si>
  <si>
    <t>Email:</t>
  </si>
  <si>
    <t>Charter School Contact Employee:</t>
  </si>
  <si>
    <t>Personnel</t>
  </si>
  <si>
    <t xml:space="preserve">Employee  </t>
  </si>
  <si>
    <t xml:space="preserve">Number of </t>
  </si>
  <si>
    <t>Subtotal (lines 1-14)</t>
  </si>
  <si>
    <t>Classroom Site Projects (from page 4, line 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</si>
  <si>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</si>
  <si>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</si>
  <si>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</si>
  <si>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</si>
  <si>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</si>
  <si>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</si>
  <si>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</si>
  <si>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</si>
  <si>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</si>
  <si>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</si>
  <si>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</si>
  <si>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1455  Family Literacy Program</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</si>
  <si>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</si>
  <si>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</si>
  <si>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</si>
  <si>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</si>
  <si>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</si>
  <si>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</si>
  <si>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</si>
  <si>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</si>
  <si>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</si>
  <si>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</si>
  <si>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</si>
  <si>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</si>
  <si>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</si>
  <si>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</si>
  <si>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</si>
  <si>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</si>
  <si>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</si>
  <si>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</si>
  <si>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</si>
  <si>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</si>
  <si>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</si>
  <si>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</si>
  <si>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</si>
  <si>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</si>
  <si>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</si>
  <si>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Structured English Immersion Project (from page 5, line 11)</t>
  </si>
  <si>
    <t>Compensatory Instruction Project (from page 5, line 22)</t>
  </si>
  <si>
    <t>Developmental Delay</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</si>
  <si>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</si>
  <si>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</si>
  <si>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</si>
  <si>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</si>
  <si>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</si>
  <si>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</si>
  <si>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</si>
  <si>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</si>
  <si>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</si>
  <si>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</si>
  <si>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</si>
  <si>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</si>
  <si>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</si>
  <si>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Instructional Improvement Project (from page 4, line 5)</t>
  </si>
  <si>
    <t>Total Classroom Site Projects (line 13 &amp; p. 3, lines 13 &amp; 26)</t>
  </si>
  <si>
    <t>Mild, Moderate, or Severe I.D.*</t>
  </si>
  <si>
    <t>Multiple Disabilities with S.S.I.**</t>
  </si>
  <si>
    <t xml:space="preserve">       **  Severe Sensory Impairment</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</si>
  <si>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</si>
  <si>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</si>
  <si>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</si>
  <si>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</si>
  <si>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</si>
  <si>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</si>
  <si>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</si>
  <si>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</si>
  <si>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</si>
  <si>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</si>
  <si>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</si>
  <si>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</si>
  <si>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</si>
  <si>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</si>
  <si>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</si>
  <si>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</si>
  <si>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</si>
  <si>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</si>
  <si>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</si>
  <si>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</si>
  <si>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</si>
  <si>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</si>
  <si>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</si>
  <si>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</si>
  <si>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Mild, Moderate, or Severe Intellectual Disability</t>
  </si>
  <si>
    <t>Multiple Disabilities with Severe Sensory Impairment</t>
  </si>
  <si>
    <t>550 K-3 Reading</t>
  </si>
  <si>
    <t>Subtotal (lines 15 and 27-32)</t>
  </si>
  <si>
    <t>Total State Projects (lines 18-28)</t>
  </si>
  <si>
    <t>Total Federal and State Projects (lines 17 and 29)</t>
  </si>
  <si>
    <t>Federal and State Projects (from page 2, line 30)</t>
  </si>
  <si>
    <t>Total Capital Acquisitions, if any, budgeted on lines 1-5 above for the K-3 Reading Program</t>
  </si>
  <si>
    <t xml:space="preserve">Enter the amount of State Equalization Assistance </t>
  </si>
  <si>
    <t>budgeted for Food Service, Function 3100:</t>
  </si>
  <si>
    <t xml:space="preserve">         </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</si>
  <si>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</si>
  <si>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</si>
  <si>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</si>
  <si>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</si>
  <si>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</si>
  <si>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</si>
  <si>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</si>
  <si>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</si>
  <si>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</si>
  <si>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3-4</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</si>
  <si>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</si>
  <si>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</si>
  <si>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</si>
  <si>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</si>
  <si>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</si>
  <si>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</si>
  <si>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</si>
  <si>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</si>
  <si>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</si>
  <si>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200 and Program 300</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</si>
  <si>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</si>
  <si>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</si>
  <si>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</si>
  <si>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</si>
  <si>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</si>
  <si>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</si>
  <si>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</si>
  <si>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Schools budgeting for special education expenses in program code 200 on page 1, lines 16-27 should report amounts allocated by program type on page 2. The total special education expenses by type should equal the total of line 27 on page 1.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</si>
  <si>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through 300 and 500 for the budget year.
</t>
  </si>
  <si>
    <r>
      <t>All information on the cover page must be completed/updated when the proposed, adopted, or revised budget is printed out for the Governing Board to sign. All information, excluding the Revenue information, must also be updated when the budget is revised.
The version of the budget being submitted on the cover page is formatted with a drop down menu. Select the appropriate choice from the menu: Proposed, Adopted, or Revised (including the revision number). Only choices in the menu may be entered in the cell.</t>
    </r>
    <r>
      <rPr>
        <sz val="10"/>
        <color indexed="10"/>
        <rFont val="Arial"/>
        <family val="2"/>
      </rPr>
      <t xml:space="preserve">
</t>
    </r>
    <r>
      <rPr>
        <sz val="10"/>
        <rFont val="Arial"/>
        <family val="2"/>
      </rPr>
      <t xml:space="preserve">
</t>
    </r>
  </si>
  <si>
    <t>Estimated Revenues</t>
  </si>
  <si>
    <t xml:space="preserve">This cell will only accept entries of 9 digits. Do not include any slashes, dashes, etc. For school district-sponsored charter schools the last three digits will be 700 or greater and end in 5 or 0. All other charter schools enter your CTD number plus 3 zeros. </t>
  </si>
  <si>
    <t xml:space="preserve">       *  Intellectual Disability</t>
  </si>
  <si>
    <t>Federal and State Projects</t>
  </si>
  <si>
    <t>Budget Summary</t>
  </si>
  <si>
    <t xml:space="preserve">The information on the Budget Summary is self-populating and will be automatically brought forward from the other pages of the Budget. </t>
  </si>
  <si>
    <r>
      <t xml:space="preserve">Schools should budget for K-3 Reading Program expenses in program code 550.  Schools that are assigned a letter grade of C, D, or F, in accordance with A.R.S. </t>
    </r>
    <r>
      <rPr>
        <sz val="10"/>
        <rFont val="Calibri"/>
        <family val="2"/>
      </rPr>
      <t>§</t>
    </r>
    <r>
      <rPr>
        <sz val="10"/>
        <rFont val="Arial"/>
        <family val="2"/>
      </rPr>
      <t>15-241, or that have more than 10% of their 3rd grade pupils reading far below the 3rd grade level according to the reading portion of the AIMS test, are not eligible to receive K-3 Reading monies until the school's K-3 Reading Program Plan has been approved by the State Board of Education.</t>
    </r>
  </si>
  <si>
    <t>Budget Year 2015</t>
  </si>
  <si>
    <t>Program 200 Budget Year 2015</t>
  </si>
  <si>
    <t>FY 2015 SUMMARY OF CHARTER SCHOOL PROPOSED BUDGET</t>
  </si>
  <si>
    <t>FY 2015</t>
  </si>
  <si>
    <t>We hereby certify that the Budget for the School Year 2015 was</t>
  </si>
  <si>
    <t xml:space="preserve">The budget file(s) for FY 2015 sent to the Arizona Department of Education on </t>
  </si>
  <si>
    <t>TOTAL BUDGETED REVENUES FOR FISCAL YEAR 2014</t>
  </si>
  <si>
    <t>ESTIMATED REVENUES BY SOURCE FOR FISCAL YEAR 2015</t>
  </si>
  <si>
    <t>Estimated revenues by source for FY 2015 should be based on the best information available at the time the budget is prepared. Estimated revenues may be more or less than estimated expenses.</t>
  </si>
  <si>
    <t>Charter 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2015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</si>
  <si>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Schools participating in the Arizona State Retirement System should budget in object code 6200 at the rate of 11.48% for retirement contributions and 0.12% for long term disability contributions for covered positions. For positions subject to the Alternative Contribution Rate, schools should budget at the rate of 9.57%.</t>
  </si>
  <si>
    <t>Prior</t>
  </si>
  <si>
    <t>Prior Year 2014</t>
  </si>
  <si>
    <t>Prior Year</t>
  </si>
  <si>
    <t>Program 200 Prior Year 2014</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</si>
  <si>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2014 budget forms. However, the cells have not been protected so users may also enter the information manually. To bring forward amounts automatically, the most recently revised FY 2014 budget must be saved as budget14.xls in the C:\CSFORMS folder. If the file is not named budget14.xls, the formulas will not function properly. Excel will ask the user to update information when the budget15.xls file is opened. Users should review amounts reported in the prior year column to ensure they agree to the school’s most recently revised FY 2014 budget.</t>
  </si>
  <si>
    <t>Program 200 Prior Year and Program 200 Budget Year column totals should equal line 27 on pg. 1.</t>
  </si>
  <si>
    <t xml:space="preserve">Student Success Project </t>
  </si>
  <si>
    <t>Total (lines 33-39)</t>
  </si>
  <si>
    <t>Preschool Severe Delay</t>
  </si>
  <si>
    <t>TOTAL (lines 15 and 22)</t>
  </si>
  <si>
    <t>Subtotal (lines 16-21)</t>
  </si>
  <si>
    <t>Federal and State Projects, Line 39</t>
  </si>
  <si>
    <t>The total of federal and state project expenses (project codes 1100 through 1499 from page 2) should be included on line 39. Schools should not include federal and state project expenses with other school wide project expenses on lines 1 through 38.</t>
  </si>
  <si>
    <t>Special Education Programs by Type, Line 23</t>
  </si>
  <si>
    <t>Separate accountability is required for each federal and state project. Therefore, charter schools should estimate the expenses for each federal or state project in which the school participates. The totals on line 30 should agree with the total columns for federal and state projects on line 39 of page 1. A.R.S §15-1261 requires charter schools to establish an E-rate Project to account for any E-rate funding received by the school. Monies budgeted for the E-rate Project should be included within the Other Federal Projects on line 16.</t>
  </si>
  <si>
    <t>Schools with known special education students and programs at the time of budget adoption should budget for expenses in program code 200 (and 300, if applicable).  Also, budgeted special education expenses in program code 200 should be allocated by program type on page 2.  Total budgeted expenses on line 27 should equal total special education programs by type on page 2, line 23.</t>
  </si>
  <si>
    <t xml:space="preserve">Charter schools receive revenues from the Classroom Site Fund each year. A.R.S. §15-977(G)(1) requires the Joint Legislative Budget Committee to calculate an estimated per pupil amount each year. For FY 2015 the estimated cash payment is $295.00 per “Group A weighted” pupil (Total of Work sheet B, line I.A.4 and Work sheet B.2 lines I.A.3 and III.A.3).
See USFRCS page III-B-1 and USFRCS Memorandum No. 44 for additional guidance on the use of Classroom Site Project monies.
</t>
  </si>
  <si>
    <t>Student Success Project</t>
  </si>
  <si>
    <t>Camp Verde Unified School District</t>
  </si>
  <si>
    <t>Yavapai</t>
  </si>
  <si>
    <t>138771000</t>
  </si>
  <si>
    <t>South Verde Technology Magnet</t>
  </si>
  <si>
    <t>Steve King</t>
  </si>
  <si>
    <t>(928) 567-8076</t>
  </si>
  <si>
    <t>sking@campverdeschools.org</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</si>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</sst>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0">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name val="Calibri"/>
      <family val="2"/>
    </font>
    <font>
      <sz val="10"/>
      <color indexed="12"/>
      <name val="Arial"/>
      <family val="2"/>
    </font>
    <font>
      <b/>
      <sz val="10"/>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2">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38" fontId="0" fillId="0" borderId="0" xfId="0" applyNumberFormat="1" applyFill="1" applyBorder="1" applyAlignment="1" applyProtection="1">
      <alignment/>
      <protection/>
    </xf>
    <xf numFmtId="0" fontId="0" fillId="0" borderId="0" xfId="0" applyFill="1" applyBorder="1" applyAlignment="1" applyProtection="1" quotePrefix="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ill="1" applyBorder="1" applyAlignment="1" applyProtection="1">
      <alignment/>
      <protection locked="0"/>
    </xf>
    <xf numFmtId="38" fontId="0" fillId="0" borderId="20"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1"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2"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20"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3"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4" xfId="0" applyFont="1" applyFill="1" applyBorder="1" applyAlignment="1" applyProtection="1">
      <alignment horizontal="center"/>
      <protection/>
    </xf>
    <xf numFmtId="0" fontId="0" fillId="0" borderId="24" xfId="0" applyFont="1" applyFill="1" applyBorder="1" applyAlignment="1" applyProtection="1">
      <alignment/>
      <protection/>
    </xf>
    <xf numFmtId="0" fontId="1" fillId="0" borderId="23"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3"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5"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1" xfId="0" applyFont="1" applyFill="1" applyBorder="1" applyAlignment="1" applyProtection="1">
      <alignment horizontal="centerContinuous"/>
      <protection/>
    </xf>
    <xf numFmtId="0" fontId="0" fillId="0" borderId="22"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0" fontId="0" fillId="0" borderId="0" xfId="0" applyFill="1" applyAlignment="1" applyProtection="1" quotePrefix="1">
      <alignment/>
      <protection/>
    </xf>
    <xf numFmtId="38" fontId="0" fillId="0" borderId="26" xfId="0" applyNumberFormat="1" applyFill="1" applyBorder="1" applyAlignment="1" applyProtection="1">
      <alignment/>
      <protection locked="0"/>
    </xf>
    <xf numFmtId="38" fontId="0" fillId="0" borderId="27" xfId="0" applyNumberFormat="1" applyFill="1" applyBorder="1" applyAlignment="1" applyProtection="1">
      <alignment/>
      <protection/>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1" xfId="0" applyFont="1" applyFill="1" applyBorder="1" applyAlignment="1" applyProtection="1">
      <alignment/>
      <protection locked="0"/>
    </xf>
    <xf numFmtId="0" fontId="1" fillId="0" borderId="0" xfId="0" applyFont="1" applyFill="1" applyBorder="1" applyAlignment="1" applyProtection="1">
      <alignment/>
      <protection/>
    </xf>
    <xf numFmtId="166" fontId="0" fillId="0" borderId="0" xfId="60" applyNumberFormat="1" applyFont="1" applyFill="1" applyBorder="1" applyAlignment="1" applyProtection="1">
      <alignment/>
      <protection/>
    </xf>
    <xf numFmtId="185" fontId="0" fillId="0" borderId="0" xfId="0" applyNumberFormat="1" applyFont="1" applyFill="1" applyBorder="1" applyAlignment="1" applyProtection="1">
      <alignment/>
      <protection/>
    </xf>
    <xf numFmtId="38" fontId="0" fillId="33"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xf>
    <xf numFmtId="166" fontId="0" fillId="0" borderId="22"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20" xfId="0" applyFont="1" applyFill="1" applyBorder="1" applyAlignment="1" applyProtection="1">
      <alignment/>
      <protection/>
    </xf>
    <xf numFmtId="0" fontId="0" fillId="0" borderId="0" xfId="0" applyFont="1" applyFill="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15"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38" fontId="0" fillId="0" borderId="23" xfId="0" applyNumberFormat="1" applyFont="1" applyFill="1" applyBorder="1" applyAlignment="1" applyProtection="1">
      <alignment horizontal="right"/>
      <protection locked="0"/>
    </xf>
    <xf numFmtId="38" fontId="0" fillId="0" borderId="20" xfId="0" applyNumberFormat="1" applyFont="1" applyFill="1" applyBorder="1" applyAlignment="1" applyProtection="1">
      <alignment horizontal="right"/>
      <protection locked="0"/>
    </xf>
    <xf numFmtId="0" fontId="0" fillId="0" borderId="17" xfId="0" applyFont="1" applyFill="1" applyBorder="1" applyAlignment="1" applyProtection="1">
      <alignment horizontal="center"/>
      <protection/>
    </xf>
    <xf numFmtId="0" fontId="1" fillId="0" borderId="0" xfId="0" applyFont="1" applyFill="1" applyAlignment="1" applyProtection="1">
      <alignment/>
      <protection/>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19"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38" fontId="0" fillId="0" borderId="26" xfId="0" applyNumberFormat="1" applyFill="1" applyBorder="1" applyAlignment="1" applyProtection="1">
      <alignment vertical="center"/>
      <protection/>
    </xf>
    <xf numFmtId="38" fontId="0" fillId="0" borderId="26" xfId="0" applyNumberFormat="1" applyFill="1" applyBorder="1" applyAlignment="1" applyProtection="1">
      <alignment vertical="center" readingOrder="1"/>
      <protection/>
    </xf>
    <xf numFmtId="38" fontId="0" fillId="0" borderId="26" xfId="0" applyNumberFormat="1" applyFont="1" applyFill="1" applyBorder="1" applyAlignment="1" applyProtection="1">
      <alignment vertical="center" readingOrder="1"/>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ill="1" applyAlignment="1" applyProtection="1" quotePrefix="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38" fontId="0" fillId="0" borderId="0" xfId="0" applyNumberFormat="1" applyFill="1" applyBorder="1" applyAlignment="1" applyProtection="1">
      <alignment vertical="center"/>
      <protection/>
    </xf>
    <xf numFmtId="0" fontId="0" fillId="0" borderId="24" xfId="0" applyFont="1" applyFill="1" applyBorder="1" applyAlignment="1" applyProtection="1">
      <alignment horizontal="center" wrapText="1"/>
      <protection/>
    </xf>
    <xf numFmtId="0" fontId="0" fillId="0" borderId="22"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1"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166" fontId="0" fillId="0" borderId="24" xfId="0" applyNumberFormat="1" applyFont="1" applyFill="1" applyBorder="1" applyAlignment="1" applyProtection="1">
      <alignment/>
      <protection/>
    </xf>
    <xf numFmtId="38" fontId="0" fillId="0" borderId="24" xfId="0" applyNumberFormat="1" applyFont="1" applyFill="1" applyBorder="1" applyAlignment="1" applyProtection="1">
      <alignment/>
      <protection/>
    </xf>
    <xf numFmtId="166" fontId="0" fillId="0" borderId="22"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3" xfId="0" applyNumberFormat="1" applyFont="1" applyFill="1" applyBorder="1" applyAlignment="1" applyProtection="1">
      <alignment/>
      <protection locked="0"/>
    </xf>
    <xf numFmtId="38" fontId="0" fillId="0" borderId="23"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4"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24" xfId="0" applyNumberFormat="1" applyFont="1" applyFill="1" applyBorder="1" applyAlignment="1" applyProtection="1">
      <alignment/>
      <protection/>
    </xf>
    <xf numFmtId="37" fontId="0" fillId="0" borderId="23" xfId="0" applyNumberFormat="1" applyFont="1" applyFill="1" applyBorder="1" applyAlignment="1" applyProtection="1">
      <alignment/>
      <protection locked="0"/>
    </xf>
    <xf numFmtId="37" fontId="0" fillId="0" borderId="24"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4" xfId="0" applyNumberFormat="1" applyFont="1" applyFill="1" applyBorder="1" applyAlignment="1" applyProtection="1">
      <alignment/>
      <protection/>
    </xf>
    <xf numFmtId="166" fontId="0" fillId="0" borderId="24"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1"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2" xfId="0" applyBorder="1" applyAlignment="1" applyProtection="1">
      <alignment/>
      <protection/>
    </xf>
    <xf numFmtId="185" fontId="0" fillId="0" borderId="18" xfId="0" applyNumberFormat="1" applyFont="1" applyFill="1" applyBorder="1" applyAlignment="1" applyProtection="1">
      <alignment/>
      <protection/>
    </xf>
    <xf numFmtId="185" fontId="0" fillId="0" borderId="24"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4"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4" xfId="0" applyFill="1" applyBorder="1" applyAlignment="1" applyProtection="1">
      <alignment/>
      <protection/>
    </xf>
    <xf numFmtId="38" fontId="0" fillId="0" borderId="29" xfId="0" applyNumberFormat="1" applyFill="1" applyBorder="1" applyAlignment="1" applyProtection="1">
      <alignment/>
      <protection/>
    </xf>
    <xf numFmtId="0" fontId="53" fillId="0" borderId="0" xfId="0" applyFont="1" applyFill="1" applyBorder="1" applyAlignment="1">
      <alignment/>
    </xf>
    <xf numFmtId="0" fontId="53" fillId="0" borderId="0" xfId="0" applyFont="1" applyFill="1" applyBorder="1" applyAlignment="1">
      <alignment horizontal="left"/>
    </xf>
    <xf numFmtId="0" fontId="53" fillId="0" borderId="12" xfId="0" applyFont="1" applyFill="1" applyBorder="1" applyAlignment="1">
      <alignment/>
    </xf>
    <xf numFmtId="0" fontId="53" fillId="0" borderId="13" xfId="0" applyFont="1" applyFill="1" applyBorder="1" applyAlignment="1">
      <alignment horizontal="center"/>
    </xf>
    <xf numFmtId="38" fontId="53" fillId="0" borderId="14" xfId="0" applyNumberFormat="1"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22" xfId="0"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17" xfId="0" applyFont="1" applyFill="1" applyBorder="1" applyAlignment="1">
      <alignment/>
    </xf>
    <xf numFmtId="38" fontId="53" fillId="0" borderId="24" xfId="0" applyNumberFormat="1" applyFont="1" applyFill="1" applyBorder="1" applyAlignment="1" applyProtection="1">
      <alignment/>
      <protection/>
    </xf>
    <xf numFmtId="0" fontId="53" fillId="0" borderId="22" xfId="0" applyFont="1" applyFill="1" applyBorder="1" applyAlignment="1" applyProtection="1">
      <alignment/>
      <protection/>
    </xf>
    <xf numFmtId="0" fontId="53" fillId="0" borderId="25" xfId="0" applyFont="1" applyFill="1" applyBorder="1" applyAlignment="1">
      <alignment/>
    </xf>
    <xf numFmtId="0" fontId="53" fillId="0" borderId="16" xfId="0" applyFont="1" applyFill="1" applyBorder="1" applyAlignment="1">
      <alignment/>
    </xf>
    <xf numFmtId="0" fontId="53" fillId="0" borderId="0" xfId="0" applyFont="1" applyFill="1" applyBorder="1" applyAlignment="1">
      <alignment horizontal="right"/>
    </xf>
    <xf numFmtId="0" fontId="53" fillId="0" borderId="22" xfId="0" applyFont="1" applyFill="1" applyBorder="1" applyAlignment="1">
      <alignment horizontal="center"/>
    </xf>
    <xf numFmtId="0" fontId="53" fillId="0" borderId="24" xfId="0" applyFont="1" applyFill="1" applyBorder="1" applyAlignment="1">
      <alignment horizontal="center"/>
    </xf>
    <xf numFmtId="0" fontId="53" fillId="0" borderId="0" xfId="0" applyFont="1" applyFill="1" applyBorder="1" applyAlignment="1" applyProtection="1">
      <alignment/>
      <protection/>
    </xf>
    <xf numFmtId="38" fontId="53" fillId="0" borderId="22" xfId="0" applyNumberFormat="1" applyFont="1" applyFill="1" applyBorder="1" applyAlignment="1" applyProtection="1">
      <alignment/>
      <protection/>
    </xf>
    <xf numFmtId="0" fontId="53" fillId="0" borderId="0" xfId="0" applyFont="1" applyFill="1" applyBorder="1" applyAlignment="1" applyProtection="1">
      <alignment vertical="center" wrapText="1"/>
      <protection/>
    </xf>
    <xf numFmtId="0" fontId="54" fillId="0" borderId="0" xfId="0" applyFont="1" applyFill="1" applyBorder="1" applyAlignment="1">
      <alignment/>
    </xf>
    <xf numFmtId="0" fontId="54" fillId="0" borderId="10" xfId="0" applyFont="1" applyFill="1" applyBorder="1" applyAlignment="1">
      <alignment/>
    </xf>
    <xf numFmtId="0" fontId="53" fillId="0" borderId="21" xfId="0" applyFont="1" applyFill="1" applyBorder="1" applyAlignment="1">
      <alignment/>
    </xf>
    <xf numFmtId="0" fontId="53" fillId="0" borderId="11" xfId="0" applyFont="1" applyFill="1" applyBorder="1" applyAlignment="1">
      <alignment/>
    </xf>
    <xf numFmtId="0" fontId="53" fillId="0" borderId="15" xfId="0" applyFont="1" applyFill="1" applyBorder="1" applyAlignment="1">
      <alignment horizontal="center"/>
    </xf>
    <xf numFmtId="0" fontId="53" fillId="0" borderId="17" xfId="0" applyFont="1" applyFill="1" applyBorder="1" applyAlignment="1">
      <alignment horizontal="center"/>
    </xf>
    <xf numFmtId="166" fontId="0" fillId="0" borderId="22"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3" fillId="0" borderId="23" xfId="0" applyFont="1" applyFill="1" applyBorder="1" applyAlignment="1">
      <alignment/>
    </xf>
    <xf numFmtId="166" fontId="0" fillId="0" borderId="14" xfId="0" applyNumberFormat="1" applyFont="1" applyFill="1" applyBorder="1" applyAlignment="1" applyProtection="1">
      <alignment/>
      <protection/>
    </xf>
    <xf numFmtId="166" fontId="0" fillId="0" borderId="24" xfId="0" applyNumberFormat="1" applyFont="1" applyFill="1" applyBorder="1" applyAlignment="1" applyProtection="1">
      <alignment/>
      <protection/>
    </xf>
    <xf numFmtId="0" fontId="53" fillId="0" borderId="20" xfId="0" applyFont="1" applyFill="1" applyBorder="1" applyAlignment="1">
      <alignment/>
    </xf>
    <xf numFmtId="0" fontId="53" fillId="0" borderId="10" xfId="0" applyFont="1" applyFill="1" applyBorder="1" applyAlignment="1">
      <alignment/>
    </xf>
    <xf numFmtId="0" fontId="53" fillId="0" borderId="18" xfId="0" applyFont="1" applyFill="1" applyBorder="1" applyAlignment="1">
      <alignment/>
    </xf>
    <xf numFmtId="0" fontId="54" fillId="0" borderId="11" xfId="0" applyFont="1" applyFill="1" applyBorder="1" applyAlignment="1">
      <alignment horizontal="left"/>
    </xf>
    <xf numFmtId="0" fontId="54" fillId="0" borderId="23" xfId="0" applyFont="1" applyFill="1" applyBorder="1" applyAlignment="1">
      <alignment horizontal="left"/>
    </xf>
    <xf numFmtId="0" fontId="53" fillId="0" borderId="11" xfId="0" applyFont="1" applyFill="1" applyBorder="1" applyAlignment="1">
      <alignment horizontal="left"/>
    </xf>
    <xf numFmtId="0" fontId="53" fillId="0" borderId="23" xfId="0" applyFont="1" applyFill="1" applyBorder="1" applyAlignment="1">
      <alignment horizontal="left"/>
    </xf>
    <xf numFmtId="0" fontId="53" fillId="0" borderId="12" xfId="0" applyFont="1" applyFill="1" applyBorder="1" applyAlignment="1">
      <alignment horizontal="left"/>
    </xf>
    <xf numFmtId="0" fontId="54" fillId="0" borderId="11" xfId="0" applyFont="1" applyFill="1" applyBorder="1" applyAlignment="1">
      <alignment/>
    </xf>
    <xf numFmtId="0" fontId="54" fillId="0" borderId="0" xfId="0" applyFont="1" applyFill="1" applyBorder="1" applyAlignment="1">
      <alignment horizontal="left"/>
    </xf>
    <xf numFmtId="0" fontId="53" fillId="0" borderId="15" xfId="0" applyFont="1" applyFill="1" applyBorder="1" applyAlignment="1">
      <alignment/>
    </xf>
    <xf numFmtId="0" fontId="54"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3" fillId="0" borderId="23" xfId="0" applyNumberFormat="1" applyFont="1" applyFill="1" applyBorder="1" applyAlignment="1" applyProtection="1">
      <alignment/>
      <protection/>
    </xf>
    <xf numFmtId="0" fontId="53" fillId="0" borderId="10" xfId="0" applyFont="1" applyFill="1" applyBorder="1" applyAlignment="1" applyProtection="1">
      <alignment/>
      <protection/>
    </xf>
    <xf numFmtId="0" fontId="53" fillId="0" borderId="22" xfId="0" applyFont="1" applyFill="1" applyBorder="1" applyAlignment="1">
      <alignment/>
    </xf>
    <xf numFmtId="38" fontId="53"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5" fillId="0" borderId="0" xfId="53" applyFont="1" applyFill="1" applyAlignment="1" applyProtection="1">
      <alignment horizontal="centerContinuous"/>
      <protection/>
    </xf>
    <xf numFmtId="0" fontId="0" fillId="0" borderId="11" xfId="0" applyFill="1" applyBorder="1" applyAlignment="1" applyProtection="1">
      <alignment/>
      <protection/>
    </xf>
    <xf numFmtId="0" fontId="56"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7" fillId="0" borderId="0" xfId="0" applyFont="1" applyFill="1" applyAlignment="1" applyProtection="1">
      <alignment/>
      <protection/>
    </xf>
    <xf numFmtId="0" fontId="57" fillId="0" borderId="0" xfId="0" applyFont="1" applyFill="1" applyBorder="1" applyAlignment="1" applyProtection="1">
      <alignment/>
      <protection/>
    </xf>
    <xf numFmtId="0" fontId="57"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5" fillId="34" borderId="21" xfId="53" applyFont="1" applyFill="1" applyBorder="1" applyAlignment="1" applyProtection="1">
      <alignment/>
      <protection/>
    </xf>
    <xf numFmtId="0" fontId="55" fillId="34" borderId="0" xfId="53" applyFont="1" applyFill="1" applyBorder="1" applyAlignment="1" applyProtection="1">
      <alignment/>
      <protection/>
    </xf>
    <xf numFmtId="0" fontId="56" fillId="34" borderId="0" xfId="53" applyFont="1" applyFill="1" applyAlignment="1" applyProtection="1">
      <alignment/>
      <protection/>
    </xf>
    <xf numFmtId="0" fontId="56" fillId="34" borderId="0" xfId="53" applyFont="1" applyFill="1" applyBorder="1" applyAlignment="1" applyProtection="1">
      <alignment/>
      <protection/>
    </xf>
    <xf numFmtId="0" fontId="56" fillId="34" borderId="0" xfId="53" applyFont="1" applyFill="1" applyAlignment="1" applyProtection="1">
      <alignment horizontal="centerContinuous"/>
      <protection/>
    </xf>
    <xf numFmtId="0" fontId="55"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8" fillId="0" borderId="0" xfId="53" applyFont="1" applyFill="1" applyAlignment="1" applyProtection="1">
      <alignment horizontal="center" vertical="top"/>
      <protection/>
    </xf>
    <xf numFmtId="16" fontId="58" fillId="0" borderId="0" xfId="53" applyNumberFormat="1" applyFont="1" applyFill="1" applyAlignment="1" applyProtection="1" quotePrefix="1">
      <alignment horizontal="center" vertical="top"/>
      <protection/>
    </xf>
    <xf numFmtId="0" fontId="58" fillId="34" borderId="24" xfId="53" applyFont="1" applyFill="1" applyBorder="1" applyAlignment="1" applyProtection="1">
      <alignment horizontal="center"/>
      <protection/>
    </xf>
    <xf numFmtId="0" fontId="58" fillId="34" borderId="0" xfId="53" applyFont="1" applyFill="1" applyAlignment="1" applyProtection="1">
      <alignment/>
      <protection/>
    </xf>
    <xf numFmtId="0" fontId="58" fillId="34" borderId="12" xfId="53" applyFont="1" applyFill="1" applyBorder="1" applyAlignment="1" applyProtection="1">
      <alignment/>
      <protection/>
    </xf>
    <xf numFmtId="0" fontId="59" fillId="34" borderId="0" xfId="53" applyFont="1" applyFill="1" applyAlignment="1" applyProtection="1">
      <alignment horizontal="centerContinuous"/>
      <protection/>
    </xf>
    <xf numFmtId="0" fontId="59" fillId="34" borderId="0" xfId="53" applyFont="1" applyFill="1" applyAlignment="1" applyProtection="1">
      <alignment horizontal="left" vertical="center"/>
      <protection/>
    </xf>
    <xf numFmtId="0" fontId="58" fillId="34" borderId="11" xfId="53" applyFont="1" applyFill="1" applyBorder="1" applyAlignment="1" applyProtection="1">
      <alignment/>
      <protection/>
    </xf>
    <xf numFmtId="0" fontId="59" fillId="34" borderId="0" xfId="53" applyFont="1" applyFill="1" applyAlignment="1" applyProtection="1">
      <alignment/>
      <protection/>
    </xf>
    <xf numFmtId="0" fontId="58" fillId="34" borderId="10" xfId="53" applyFont="1" applyFill="1" applyBorder="1" applyAlignment="1" applyProtection="1">
      <alignment/>
      <protection/>
    </xf>
    <xf numFmtId="164" fontId="0" fillId="0" borderId="16" xfId="0" applyNumberFormat="1" applyBorder="1" applyAlignment="1">
      <alignment/>
    </xf>
    <xf numFmtId="0" fontId="58" fillId="34" borderId="0" xfId="53" applyFont="1" applyFill="1" applyAlignment="1" applyProtection="1">
      <alignment horizontal="left" vertical="center"/>
      <protection/>
    </xf>
    <xf numFmtId="0" fontId="58" fillId="34" borderId="0" xfId="53" applyFont="1" applyFill="1" applyAlignment="1" applyProtection="1">
      <alignment vertical="center"/>
      <protection/>
    </xf>
    <xf numFmtId="0" fontId="58" fillId="34" borderId="0" xfId="53" applyFont="1" applyFill="1" applyBorder="1" applyAlignment="1" applyProtection="1">
      <alignment vertical="center"/>
      <protection/>
    </xf>
    <xf numFmtId="0" fontId="0" fillId="0" borderId="0" xfId="0" applyAlignment="1" quotePrefix="1">
      <alignment vertical="center"/>
    </xf>
    <xf numFmtId="164" fontId="0" fillId="0" borderId="0" xfId="0" applyNumberFormat="1" applyAlignment="1">
      <alignment/>
    </xf>
    <xf numFmtId="0" fontId="59"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3"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8" fillId="0" borderId="0" xfId="53" applyFont="1" applyAlignment="1" applyProtection="1">
      <alignment horizontal="center" vertical="top" wrapText="1"/>
      <protection/>
    </xf>
    <xf numFmtId="0" fontId="0" fillId="0" borderId="24"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38" fontId="53"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166" fontId="0" fillId="35" borderId="13" xfId="0" applyNumberFormat="1" applyFont="1" applyFill="1" applyBorder="1" applyAlignment="1" applyProtection="1">
      <alignment/>
      <protection/>
    </xf>
    <xf numFmtId="166" fontId="0" fillId="35" borderId="22" xfId="0" applyNumberFormat="1" applyFont="1" applyFill="1" applyBorder="1" applyAlignment="1" applyProtection="1">
      <alignment/>
      <protection/>
    </xf>
    <xf numFmtId="166" fontId="0" fillId="35" borderId="14"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0" fontId="0" fillId="0" borderId="21" xfId="0" applyFill="1" applyBorder="1" applyAlignment="1" applyProtection="1">
      <alignment horizontal="center"/>
      <protection/>
    </xf>
    <xf numFmtId="168" fontId="0" fillId="0" borderId="12" xfId="0" applyNumberFormat="1" applyFont="1" applyFill="1" applyBorder="1" applyAlignment="1" applyProtection="1">
      <alignment horizontal="center"/>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0" xfId="0" applyFont="1" applyFill="1" applyAlignment="1" applyProtection="1">
      <alignment horizontal="justify" wrapText="1"/>
      <protection/>
    </xf>
    <xf numFmtId="168" fontId="0" fillId="0" borderId="25" xfId="0" applyNumberFormat="1" applyFill="1" applyBorder="1" applyAlignment="1" applyProtection="1">
      <alignment horizontal="left"/>
      <protection locked="0"/>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2" fillId="34" borderId="0" xfId="53"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12" xfId="0" applyFill="1" applyBorder="1" applyAlignment="1" applyProtection="1">
      <alignment horizontal="center"/>
      <protection locked="0"/>
    </xf>
    <xf numFmtId="0" fontId="13"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12" fillId="34" borderId="0" xfId="53" applyFont="1" applyFill="1" applyBorder="1" applyAlignment="1" applyProtection="1">
      <alignment horizontal="center"/>
      <protection/>
    </xf>
    <xf numFmtId="0" fontId="12" fillId="34" borderId="21" xfId="53"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horizontal="left"/>
      <protection/>
    </xf>
    <xf numFmtId="168" fontId="0" fillId="0" borderId="12" xfId="0" applyNumberFormat="1" applyFill="1"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4"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2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1" xfId="53" applyFill="1" applyBorder="1" applyAlignment="1" applyProtection="1">
      <alignment horizontal="center" vertical="center"/>
      <protection/>
    </xf>
    <xf numFmtId="38" fontId="0" fillId="0" borderId="0" xfId="0" applyNumberFormat="1" applyFont="1" applyFill="1" applyBorder="1" applyAlignment="1" applyProtection="1">
      <alignment horizontal="right"/>
      <protection/>
    </xf>
    <xf numFmtId="166" fontId="0" fillId="0" borderId="0" xfId="60" applyNumberFormat="1" applyFont="1" applyFill="1" applyBorder="1" applyAlignment="1" applyProtection="1">
      <alignment horizontal="right"/>
      <protection/>
    </xf>
    <xf numFmtId="38" fontId="0" fillId="0" borderId="0" xfId="0" applyNumberFormat="1" applyFont="1" applyFill="1" applyBorder="1" applyAlignment="1" applyProtection="1">
      <alignment/>
      <protection/>
    </xf>
    <xf numFmtId="0" fontId="0" fillId="0" borderId="12" xfId="0" applyFont="1" applyFill="1" applyBorder="1" applyAlignment="1" applyProtection="1">
      <alignment horizontal="left"/>
      <protection/>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54" fillId="0" borderId="0" xfId="0" applyFont="1" applyFill="1" applyBorder="1" applyAlignment="1">
      <alignment horizontal="center"/>
    </xf>
    <xf numFmtId="0" fontId="53" fillId="0" borderId="10" xfId="0" applyFont="1" applyFill="1" applyBorder="1" applyAlignment="1" applyProtection="1">
      <alignment horizontal="center" vertical="center" wrapText="1"/>
      <protection/>
    </xf>
    <xf numFmtId="0" fontId="53" fillId="0" borderId="21"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4" fillId="0" borderId="20" xfId="0" applyFont="1" applyFill="1" applyBorder="1" applyAlignment="1">
      <alignment horizontal="center"/>
    </xf>
    <xf numFmtId="0" fontId="54" fillId="0" borderId="25" xfId="0" applyFont="1" applyFill="1" applyBorder="1" applyAlignment="1">
      <alignment horizontal="center"/>
    </xf>
    <xf numFmtId="0" fontId="54" fillId="0" borderId="16" xfId="0" applyFont="1" applyFill="1" applyBorder="1" applyAlignment="1">
      <alignment horizontal="center"/>
    </xf>
    <xf numFmtId="38" fontId="53" fillId="0" borderId="20" xfId="0" applyNumberFormat="1" applyFont="1" applyFill="1" applyBorder="1" applyAlignment="1" applyProtection="1">
      <alignment horizontal="center"/>
      <protection/>
    </xf>
    <xf numFmtId="38" fontId="53" fillId="0" borderId="16" xfId="0" applyNumberFormat="1" applyFont="1" applyFill="1" applyBorder="1" applyAlignment="1" applyProtection="1">
      <alignment horizontal="center"/>
      <protection/>
    </xf>
    <xf numFmtId="0" fontId="53" fillId="0" borderId="10" xfId="0" applyFont="1" applyFill="1" applyBorder="1" applyAlignment="1">
      <alignment horizontal="center"/>
    </xf>
    <xf numFmtId="0" fontId="53" fillId="0" borderId="18" xfId="0" applyFont="1" applyFill="1" applyBorder="1" applyAlignment="1">
      <alignment horizontal="center"/>
    </xf>
    <xf numFmtId="0" fontId="53" fillId="0" borderId="20" xfId="0" applyFont="1" applyFill="1" applyBorder="1" applyAlignment="1">
      <alignment horizontal="center"/>
    </xf>
    <xf numFmtId="0" fontId="53"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s3and4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s3and4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5StructuredEnglishImmersion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542925"/>
          <a:ext cx="1019175" cy="2857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1390650</xdr:colOff>
      <xdr:row>4</xdr:row>
      <xdr:rowOff>123825</xdr:rowOff>
    </xdr:from>
    <xdr:to>
      <xdr:col>4</xdr:col>
      <xdr:colOff>190500</xdr:colOff>
      <xdr:row>6</xdr:row>
      <xdr:rowOff>85725</xdr:rowOff>
    </xdr:to>
    <xdr:sp>
      <xdr:nvSpPr>
        <xdr:cNvPr id="1" name="Rectangle 6">
          <a:hlinkClick r:id="rId1"/>
        </xdr:cNvPr>
        <xdr:cNvSpPr>
          <a:spLocks/>
        </xdr:cNvSpPr>
      </xdr:nvSpPr>
      <xdr:spPr>
        <a:xfrm>
          <a:off x="2609850" y="571500"/>
          <a:ext cx="1000125" cy="2857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Budget Summary"/>
      <sheetName val="Instructions"/>
    </sheetNames>
    <sheetDataSet>
      <sheetData sheetId="0">
        <row r="19">
          <cell r="R19">
            <v>524233</v>
          </cell>
        </row>
      </sheetData>
      <sheetData sheetId="1">
        <row r="8">
          <cell r="L8">
            <v>295641</v>
          </cell>
        </row>
        <row r="10">
          <cell r="L10">
            <v>18489</v>
          </cell>
        </row>
        <row r="11">
          <cell r="L11">
            <v>9100</v>
          </cell>
        </row>
        <row r="12">
          <cell r="L12">
            <v>9310</v>
          </cell>
        </row>
        <row r="13">
          <cell r="L13">
            <v>45419</v>
          </cell>
        </row>
        <row r="14">
          <cell r="L14">
            <v>13870</v>
          </cell>
        </row>
        <row r="15">
          <cell r="L15">
            <v>45703</v>
          </cell>
        </row>
        <row r="16">
          <cell r="L16">
            <v>0</v>
          </cell>
        </row>
        <row r="17">
          <cell r="L17">
            <v>0</v>
          </cell>
        </row>
        <row r="18">
          <cell r="L18">
            <v>0</v>
          </cell>
        </row>
        <row r="19">
          <cell r="L19">
            <v>74192</v>
          </cell>
        </row>
        <row r="20">
          <cell r="L20">
            <v>0</v>
          </cell>
        </row>
        <row r="21">
          <cell r="L21">
            <v>7300</v>
          </cell>
        </row>
        <row r="22">
          <cell r="L22">
            <v>0</v>
          </cell>
        </row>
        <row r="25">
          <cell r="L25">
            <v>22075</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8">
          <cell r="L38">
            <v>0</v>
          </cell>
        </row>
        <row r="39">
          <cell r="L39">
            <v>9150</v>
          </cell>
        </row>
        <row r="40">
          <cell r="L40">
            <v>0</v>
          </cell>
        </row>
        <row r="41">
          <cell r="L41">
            <v>0</v>
          </cell>
        </row>
        <row r="42">
          <cell r="L42">
            <v>0</v>
          </cell>
        </row>
        <row r="44">
          <cell r="L44">
            <v>15876</v>
          </cell>
        </row>
        <row r="45">
          <cell r="L45">
            <v>4000</v>
          </cell>
        </row>
        <row r="46">
          <cell r="L46">
            <v>0</v>
          </cell>
        </row>
        <row r="47">
          <cell r="L47">
            <v>0</v>
          </cell>
        </row>
        <row r="48">
          <cell r="L48">
            <v>29108</v>
          </cell>
        </row>
      </sheetData>
      <sheetData sheetId="2">
        <row r="11">
          <cell r="N11">
            <v>22075</v>
          </cell>
        </row>
        <row r="12">
          <cell r="E12">
            <v>6335</v>
          </cell>
        </row>
        <row r="20">
          <cell r="E20">
            <v>16899</v>
          </cell>
        </row>
        <row r="33">
          <cell r="E33">
            <v>5874</v>
          </cell>
        </row>
      </sheetData>
      <sheetData sheetId="3">
        <row r="9">
          <cell r="I9">
            <v>2614</v>
          </cell>
        </row>
        <row r="10">
          <cell r="I10">
            <v>0</v>
          </cell>
        </row>
        <row r="11">
          <cell r="I11">
            <v>0</v>
          </cell>
        </row>
        <row r="14">
          <cell r="I14">
            <v>0</v>
          </cell>
        </row>
        <row r="15">
          <cell r="I15">
            <v>0</v>
          </cell>
        </row>
        <row r="16">
          <cell r="I16">
            <v>0</v>
          </cell>
        </row>
        <row r="19">
          <cell r="I19">
            <v>0</v>
          </cell>
        </row>
        <row r="20">
          <cell r="I20">
            <v>0</v>
          </cell>
        </row>
        <row r="21">
          <cell r="I21">
            <v>0</v>
          </cell>
        </row>
        <row r="26">
          <cell r="I26">
            <v>6231</v>
          </cell>
        </row>
        <row r="27">
          <cell r="I27">
            <v>0</v>
          </cell>
        </row>
        <row r="28">
          <cell r="I28">
            <v>0</v>
          </cell>
        </row>
        <row r="31">
          <cell r="I31">
            <v>0</v>
          </cell>
        </row>
        <row r="32">
          <cell r="I32">
            <v>0</v>
          </cell>
        </row>
        <row r="33">
          <cell r="I33">
            <v>0</v>
          </cell>
        </row>
        <row r="36">
          <cell r="I36">
            <v>0</v>
          </cell>
        </row>
        <row r="37">
          <cell r="I37">
            <v>0</v>
          </cell>
        </row>
        <row r="38">
          <cell r="I38">
            <v>0</v>
          </cell>
        </row>
      </sheetData>
      <sheetData sheetId="4">
        <row r="11">
          <cell r="K11">
            <v>7031</v>
          </cell>
        </row>
        <row r="12">
          <cell r="K12">
            <v>0</v>
          </cell>
        </row>
        <row r="13">
          <cell r="K13">
            <v>0</v>
          </cell>
        </row>
        <row r="16">
          <cell r="K16">
            <v>0</v>
          </cell>
        </row>
        <row r="17">
          <cell r="K17">
            <v>0</v>
          </cell>
        </row>
        <row r="18">
          <cell r="K18">
            <v>0</v>
          </cell>
        </row>
        <row r="21">
          <cell r="K21">
            <v>0</v>
          </cell>
        </row>
        <row r="23">
          <cell r="K23">
            <v>0</v>
          </cell>
        </row>
        <row r="24">
          <cell r="K24">
            <v>0</v>
          </cell>
        </row>
        <row r="34">
          <cell r="H34">
            <v>3000</v>
          </cell>
        </row>
        <row r="37">
          <cell r="H37">
            <v>1000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workbookViewId="0" topLeftCell="A1">
      <selection activeCell="R18" sqref="R18"/>
    </sheetView>
  </sheetViews>
  <sheetFormatPr defaultColWidth="9.140625" defaultRowHeight="12.75" customHeight="1"/>
  <cols>
    <col min="1" max="1" width="8.28125" style="38" customWidth="1"/>
    <col min="2" max="2" width="5.421875" style="38" customWidth="1"/>
    <col min="3" max="3" width="4.7109375" style="38" customWidth="1"/>
    <col min="4" max="4" width="8.28125" style="38" customWidth="1"/>
    <col min="5" max="5" width="5.421875" style="38" customWidth="1"/>
    <col min="6" max="6" width="11.28125" style="38" customWidth="1"/>
    <col min="7" max="7" width="6.7109375" style="38" customWidth="1"/>
    <col min="8" max="8" width="3.00390625" style="47" customWidth="1"/>
    <col min="9" max="9" width="11.28125" style="47" customWidth="1"/>
    <col min="10" max="10" width="14.8515625" style="47" customWidth="1"/>
    <col min="11" max="11" width="9.140625" style="47" customWidth="1"/>
    <col min="12" max="12" width="9.7109375" style="47" customWidth="1"/>
    <col min="13" max="13" width="9.140625" style="47" customWidth="1"/>
    <col min="14" max="14" width="11.421875" style="47" customWidth="1"/>
    <col min="15" max="15" width="15.8515625" style="47" customWidth="1"/>
    <col min="16" max="16" width="8.7109375" style="47" customWidth="1"/>
    <col min="17" max="17" width="3.7109375" style="47" customWidth="1"/>
    <col min="18" max="18" width="13.7109375" style="47" customWidth="1"/>
    <col min="19" max="16384" width="9.140625" style="47" customWidth="1"/>
  </cols>
  <sheetData>
    <row r="1" spans="1:18" ht="12.75" customHeight="1">
      <c r="A1" s="337" t="s">
        <v>0</v>
      </c>
      <c r="B1" s="337"/>
      <c r="C1" s="337"/>
      <c r="D1" s="339" t="s">
        <v>320</v>
      </c>
      <c r="E1" s="340"/>
      <c r="F1" s="340"/>
      <c r="G1" s="340"/>
      <c r="H1" s="340"/>
      <c r="I1" s="340"/>
      <c r="J1" s="40"/>
      <c r="K1" s="18"/>
      <c r="L1" s="45" t="s">
        <v>1</v>
      </c>
      <c r="M1" s="346" t="s">
        <v>321</v>
      </c>
      <c r="N1" s="347"/>
      <c r="O1" s="344" t="s">
        <v>103</v>
      </c>
      <c r="P1" s="344"/>
      <c r="Q1" s="344"/>
      <c r="R1" s="278" t="s">
        <v>322</v>
      </c>
    </row>
    <row r="2" spans="4:18" ht="12.75" customHeight="1">
      <c r="D2" s="318" t="s">
        <v>101</v>
      </c>
      <c r="E2" s="318"/>
      <c r="F2" s="318"/>
      <c r="G2" s="318"/>
      <c r="H2" s="318"/>
      <c r="I2" s="318"/>
      <c r="M2" s="39"/>
      <c r="O2" s="46"/>
      <c r="P2" s="46"/>
      <c r="Q2" s="39"/>
      <c r="R2" s="42"/>
    </row>
    <row r="3" spans="4:18" ht="12.75" customHeight="1">
      <c r="D3" s="341" t="s">
        <v>323</v>
      </c>
      <c r="E3" s="342"/>
      <c r="F3" s="342"/>
      <c r="G3" s="342"/>
      <c r="H3" s="342"/>
      <c r="I3" s="342"/>
      <c r="M3" s="39"/>
      <c r="O3" s="46"/>
      <c r="P3" s="46"/>
      <c r="Q3" s="39"/>
      <c r="R3" s="42"/>
    </row>
    <row r="4" spans="4:18" ht="12.75" customHeight="1">
      <c r="D4" s="318" t="s">
        <v>102</v>
      </c>
      <c r="E4" s="318"/>
      <c r="F4" s="318"/>
      <c r="G4" s="318"/>
      <c r="H4" s="318"/>
      <c r="I4" s="318"/>
      <c r="M4" s="39"/>
      <c r="O4" s="46"/>
      <c r="P4" s="46"/>
      <c r="Q4" s="39"/>
      <c r="R4" s="42"/>
    </row>
    <row r="5" spans="13:18" ht="12.75" customHeight="1">
      <c r="M5" s="39"/>
      <c r="O5" s="46"/>
      <c r="P5" s="46"/>
      <c r="Q5" s="39"/>
      <c r="R5" s="42"/>
    </row>
    <row r="6" spans="1:10" ht="18" customHeight="1">
      <c r="A6" s="39"/>
      <c r="B6" s="338" t="s">
        <v>294</v>
      </c>
      <c r="C6" s="338"/>
      <c r="D6" s="338"/>
      <c r="E6" s="338"/>
      <c r="F6" s="338"/>
      <c r="G6" s="338"/>
      <c r="H6" s="338"/>
      <c r="I6" s="338"/>
      <c r="J6" s="39"/>
    </row>
    <row r="7" spans="1:10" ht="12.75">
      <c r="A7" s="39"/>
      <c r="B7" s="39"/>
      <c r="C7" s="39"/>
      <c r="D7" s="39"/>
      <c r="E7" s="39"/>
      <c r="F7" s="39"/>
      <c r="G7" s="39"/>
      <c r="H7" s="40"/>
      <c r="I7" s="40"/>
      <c r="J7" s="48"/>
    </row>
    <row r="8" spans="1:18" ht="18" customHeight="1">
      <c r="A8" s="39"/>
      <c r="B8" s="338" t="s">
        <v>2</v>
      </c>
      <c r="C8" s="338"/>
      <c r="D8" s="338"/>
      <c r="E8" s="338"/>
      <c r="F8" s="338"/>
      <c r="G8" s="338"/>
      <c r="H8" s="338"/>
      <c r="I8" s="338"/>
      <c r="J8" s="49"/>
      <c r="L8" s="39" t="s">
        <v>4</v>
      </c>
      <c r="M8" s="39"/>
      <c r="N8" s="39"/>
      <c r="O8" s="39"/>
      <c r="P8" s="39"/>
      <c r="Q8" s="39"/>
      <c r="R8" s="39"/>
    </row>
    <row r="9" spans="1:18" ht="12.75">
      <c r="A9" s="39"/>
      <c r="B9" s="39"/>
      <c r="C9" s="39"/>
      <c r="D9" s="39"/>
      <c r="E9" s="39"/>
      <c r="F9" s="39"/>
      <c r="G9" s="39"/>
      <c r="H9" s="40"/>
      <c r="I9" s="40"/>
      <c r="J9" s="48"/>
      <c r="L9" s="39" t="s">
        <v>5</v>
      </c>
      <c r="M9" s="39"/>
      <c r="N9" s="39"/>
      <c r="O9" s="39"/>
      <c r="P9" s="39"/>
      <c r="Q9" s="39"/>
      <c r="R9" s="39"/>
    </row>
    <row r="10" spans="1:11" ht="12.75" customHeight="1">
      <c r="A10" s="39"/>
      <c r="B10" s="332" t="s">
        <v>3</v>
      </c>
      <c r="C10" s="332"/>
      <c r="D10" s="332"/>
      <c r="E10" s="332"/>
      <c r="F10" s="332"/>
      <c r="G10" s="332"/>
      <c r="H10" s="332"/>
      <c r="I10" s="332"/>
      <c r="J10" s="345"/>
      <c r="K10" s="271"/>
    </row>
    <row r="11" spans="1:18" ht="12.75" customHeight="1">
      <c r="A11" s="39"/>
      <c r="B11" s="332"/>
      <c r="C11" s="332"/>
      <c r="D11" s="332"/>
      <c r="E11" s="332"/>
      <c r="F11" s="332"/>
      <c r="G11" s="332"/>
      <c r="H11" s="332"/>
      <c r="I11" s="332"/>
      <c r="J11" s="345"/>
      <c r="K11" s="50" t="s">
        <v>55</v>
      </c>
      <c r="L11" s="334" t="s">
        <v>297</v>
      </c>
      <c r="M11" s="334"/>
      <c r="N11" s="334"/>
      <c r="O11" s="334"/>
      <c r="P11" s="334"/>
      <c r="Q11" s="51" t="s">
        <v>6</v>
      </c>
      <c r="R11" s="52">
        <f>'[1]Cover'!$R$19</f>
        <v>524233</v>
      </c>
    </row>
    <row r="12" spans="1:10" ht="12.75" customHeight="1">
      <c r="A12" s="39"/>
      <c r="B12" s="39"/>
      <c r="C12" s="39"/>
      <c r="D12" s="39"/>
      <c r="E12" s="39"/>
      <c r="F12" s="39"/>
      <c r="G12" s="39"/>
      <c r="H12" s="40"/>
      <c r="I12" s="40"/>
      <c r="J12" s="48"/>
    </row>
    <row r="13" spans="8:17" ht="12.75" customHeight="1">
      <c r="H13" s="18"/>
      <c r="I13" s="18"/>
      <c r="J13" s="53"/>
      <c r="K13" s="50" t="s">
        <v>56</v>
      </c>
      <c r="L13" s="333" t="s">
        <v>298</v>
      </c>
      <c r="M13" s="333"/>
      <c r="N13" s="333"/>
      <c r="O13" s="333"/>
      <c r="P13" s="333"/>
      <c r="Q13" s="333"/>
    </row>
    <row r="14" spans="8:10" ht="12.75" customHeight="1">
      <c r="H14" s="18"/>
      <c r="I14" s="18"/>
      <c r="J14" s="53"/>
    </row>
    <row r="15" spans="1:18" ht="12.75" customHeight="1">
      <c r="A15" s="40"/>
      <c r="B15" s="40"/>
      <c r="C15" s="40"/>
      <c r="D15" s="342" t="s">
        <v>327</v>
      </c>
      <c r="E15" s="342"/>
      <c r="F15" s="342"/>
      <c r="G15" s="342"/>
      <c r="H15" s="342"/>
      <c r="I15" s="40"/>
      <c r="J15" s="53"/>
      <c r="O15" s="47" t="s">
        <v>7</v>
      </c>
      <c r="P15" s="54" t="s">
        <v>8</v>
      </c>
      <c r="Q15" s="55" t="s">
        <v>6</v>
      </c>
      <c r="R15" s="56">
        <v>673613</v>
      </c>
    </row>
    <row r="16" spans="1:18" ht="12.75" customHeight="1">
      <c r="A16" s="41"/>
      <c r="B16" s="348" t="s">
        <v>91</v>
      </c>
      <c r="C16" s="348"/>
      <c r="D16" s="349"/>
      <c r="E16" s="349"/>
      <c r="F16" s="349"/>
      <c r="G16" s="349"/>
      <c r="H16" s="349"/>
      <c r="I16" s="348"/>
      <c r="J16" s="53"/>
      <c r="O16" s="47" t="s">
        <v>10</v>
      </c>
      <c r="P16" s="54" t="s">
        <v>11</v>
      </c>
      <c r="Q16" s="55" t="s">
        <v>6</v>
      </c>
      <c r="R16" s="52">
        <v>19876</v>
      </c>
    </row>
    <row r="17" spans="8:18" ht="12.75" customHeight="1">
      <c r="H17" s="18"/>
      <c r="I17" s="18"/>
      <c r="J17" s="53"/>
      <c r="O17" s="47" t="s">
        <v>9</v>
      </c>
      <c r="P17" s="54" t="s">
        <v>80</v>
      </c>
      <c r="Q17" s="55" t="s">
        <v>6</v>
      </c>
      <c r="R17" s="57">
        <v>9009</v>
      </c>
    </row>
    <row r="18" spans="2:18" ht="12.75" customHeight="1">
      <c r="B18" s="40"/>
      <c r="C18" s="40"/>
      <c r="D18" s="40"/>
      <c r="E18" s="40"/>
      <c r="F18" s="40"/>
      <c r="G18" s="40"/>
      <c r="H18" s="40"/>
      <c r="I18" s="40"/>
      <c r="J18" s="53"/>
      <c r="O18" s="47" t="s">
        <v>12</v>
      </c>
      <c r="P18" s="54" t="s">
        <v>81</v>
      </c>
      <c r="Q18" s="55" t="s">
        <v>6</v>
      </c>
      <c r="R18" s="57">
        <v>6723</v>
      </c>
    </row>
    <row r="19" spans="2:18" ht="12.75" customHeight="1">
      <c r="B19" s="350" t="s">
        <v>92</v>
      </c>
      <c r="C19" s="350"/>
      <c r="D19" s="350"/>
      <c r="E19" s="350"/>
      <c r="F19" s="350"/>
      <c r="G19" s="350"/>
      <c r="H19" s="350"/>
      <c r="I19" s="350"/>
      <c r="J19" s="53"/>
      <c r="O19" s="38" t="s">
        <v>57</v>
      </c>
      <c r="Q19" s="55" t="s">
        <v>6</v>
      </c>
      <c r="R19" s="58">
        <f>SUM(R15:R18)</f>
        <v>709221</v>
      </c>
    </row>
    <row r="20" spans="8:10" ht="12.75" customHeight="1">
      <c r="H20" s="18"/>
      <c r="I20" s="18"/>
      <c r="J20" s="53"/>
    </row>
    <row r="21" spans="8:10" ht="12.75" customHeight="1">
      <c r="H21" s="18"/>
      <c r="I21" s="18"/>
      <c r="J21" s="53"/>
    </row>
    <row r="22" spans="1:18" ht="12.75" customHeight="1">
      <c r="A22" s="42"/>
      <c r="B22" s="350" t="s">
        <v>295</v>
      </c>
      <c r="C22" s="350"/>
      <c r="D22" s="350"/>
      <c r="E22" s="350"/>
      <c r="F22" s="350"/>
      <c r="G22" s="350"/>
      <c r="H22" s="350"/>
      <c r="I22" s="350"/>
      <c r="J22" s="59"/>
      <c r="L22" s="335"/>
      <c r="M22" s="335"/>
      <c r="N22" s="335"/>
      <c r="O22" s="335"/>
      <c r="P22" s="335"/>
      <c r="Q22" s="335"/>
      <c r="R22" s="335"/>
    </row>
    <row r="23" spans="8:21" ht="12.75" customHeight="1">
      <c r="H23" s="18"/>
      <c r="I23" s="18"/>
      <c r="J23" s="53"/>
      <c r="N23" s="336"/>
      <c r="O23" s="336"/>
      <c r="R23" s="326"/>
      <c r="S23" s="326"/>
      <c r="T23" s="326"/>
      <c r="U23" s="326"/>
    </row>
    <row r="24" spans="2:18" ht="12.75" customHeight="1">
      <c r="B24" s="60"/>
      <c r="C24" s="351" t="s">
        <v>93</v>
      </c>
      <c r="D24" s="351"/>
      <c r="E24" s="61"/>
      <c r="F24" s="352">
        <v>41800</v>
      </c>
      <c r="G24" s="352"/>
      <c r="H24" s="352"/>
      <c r="I24" s="18"/>
      <c r="J24" s="53"/>
      <c r="L24" s="17"/>
      <c r="M24" s="17"/>
      <c r="N24" s="17"/>
      <c r="O24" s="17"/>
      <c r="P24" s="17"/>
      <c r="Q24" s="17"/>
      <c r="R24" s="17"/>
    </row>
    <row r="25" spans="2:18" ht="12.75" customHeight="1">
      <c r="B25" s="60"/>
      <c r="C25" s="351" t="s">
        <v>94</v>
      </c>
      <c r="D25" s="351"/>
      <c r="E25" s="61"/>
      <c r="F25" s="327">
        <v>41828</v>
      </c>
      <c r="G25" s="327"/>
      <c r="H25" s="327"/>
      <c r="I25" s="18"/>
      <c r="J25" s="53"/>
      <c r="L25" s="329" t="s">
        <v>155</v>
      </c>
      <c r="M25" s="329"/>
      <c r="N25" s="329"/>
      <c r="O25" s="324" t="s">
        <v>324</v>
      </c>
      <c r="P25" s="325"/>
      <c r="Q25" s="325"/>
      <c r="R25" s="325"/>
    </row>
    <row r="26" spans="2:18" ht="12.75" customHeight="1">
      <c r="B26" s="60"/>
      <c r="C26" s="351" t="s">
        <v>95</v>
      </c>
      <c r="D26" s="351"/>
      <c r="E26" s="61"/>
      <c r="F26" s="327">
        <v>42136</v>
      </c>
      <c r="G26" s="327"/>
      <c r="H26" s="327"/>
      <c r="I26" s="18"/>
      <c r="J26" s="53"/>
      <c r="L26" s="62" t="s">
        <v>153</v>
      </c>
      <c r="M26" s="324" t="s">
        <v>325</v>
      </c>
      <c r="N26" s="325"/>
      <c r="O26" s="55" t="s">
        <v>154</v>
      </c>
      <c r="P26" s="330" t="s">
        <v>326</v>
      </c>
      <c r="Q26" s="331"/>
      <c r="R26" s="331"/>
    </row>
    <row r="27" spans="2:10" ht="12.75" customHeight="1">
      <c r="B27" s="41"/>
      <c r="C27" s="41"/>
      <c r="D27" s="41"/>
      <c r="E27" s="41"/>
      <c r="F27" s="318" t="s">
        <v>96</v>
      </c>
      <c r="G27" s="318"/>
      <c r="H27" s="318"/>
      <c r="I27" s="63"/>
      <c r="J27" s="49"/>
    </row>
    <row r="28" spans="2:10" ht="12.75" customHeight="1">
      <c r="B28" s="41"/>
      <c r="C28" s="60"/>
      <c r="D28" s="64"/>
      <c r="E28" s="40"/>
      <c r="F28" s="42"/>
      <c r="G28" s="65"/>
      <c r="H28" s="63"/>
      <c r="I28" s="63"/>
      <c r="J28" s="49"/>
    </row>
    <row r="29" spans="1:18" ht="12.75" customHeight="1">
      <c r="A29" s="323"/>
      <c r="B29" s="323"/>
      <c r="C29" s="323"/>
      <c r="D29" s="323"/>
      <c r="E29" s="323"/>
      <c r="F29" s="41"/>
      <c r="G29" s="343"/>
      <c r="H29" s="343"/>
      <c r="I29" s="343"/>
      <c r="J29" s="49"/>
      <c r="L29" s="328" t="s">
        <v>296</v>
      </c>
      <c r="M29" s="328"/>
      <c r="N29" s="328"/>
      <c r="O29" s="328"/>
      <c r="P29" s="328"/>
      <c r="Q29" s="328"/>
      <c r="R29" s="328"/>
    </row>
    <row r="30" spans="1:18" ht="12.75" customHeight="1">
      <c r="A30" s="40"/>
      <c r="B30" s="40"/>
      <c r="C30" s="40"/>
      <c r="D30" s="40"/>
      <c r="E30" s="40"/>
      <c r="F30" s="40"/>
      <c r="G30" s="40"/>
      <c r="H30" s="63"/>
      <c r="I30" s="63"/>
      <c r="J30" s="49"/>
      <c r="L30" s="319">
        <v>42137</v>
      </c>
      <c r="M30" s="320"/>
      <c r="N30" s="321" t="s">
        <v>99</v>
      </c>
      <c r="O30" s="321"/>
      <c r="P30" s="321"/>
      <c r="Q30" s="321"/>
      <c r="R30" s="321"/>
    </row>
    <row r="31" spans="1:18" ht="12.75" customHeight="1">
      <c r="A31" s="323"/>
      <c r="B31" s="323"/>
      <c r="C31" s="323"/>
      <c r="D31" s="323"/>
      <c r="E31" s="323"/>
      <c r="F31" s="41"/>
      <c r="G31" s="343"/>
      <c r="H31" s="343"/>
      <c r="I31" s="343"/>
      <c r="J31" s="53"/>
      <c r="L31" s="40"/>
      <c r="M31" s="66"/>
      <c r="N31" s="66"/>
      <c r="O31" s="66"/>
      <c r="P31" s="66"/>
      <c r="Q31" s="66"/>
      <c r="R31" s="66"/>
    </row>
    <row r="32" spans="1:18" ht="12.75" customHeight="1">
      <c r="A32" s="43"/>
      <c r="B32" s="43"/>
      <c r="C32" s="43"/>
      <c r="D32" s="43"/>
      <c r="E32" s="43"/>
      <c r="F32" s="40"/>
      <c r="G32" s="43"/>
      <c r="H32" s="18"/>
      <c r="I32" s="18"/>
      <c r="J32" s="53"/>
      <c r="L32" s="322"/>
      <c r="M32" s="322"/>
      <c r="N32" s="322"/>
      <c r="O32" s="67"/>
      <c r="P32" s="68"/>
      <c r="Q32" s="68"/>
      <c r="R32" s="68"/>
    </row>
    <row r="33" spans="1:18" ht="12.75" customHeight="1">
      <c r="A33" s="323"/>
      <c r="B33" s="323"/>
      <c r="C33" s="323"/>
      <c r="D33" s="323"/>
      <c r="E33" s="323"/>
      <c r="F33" s="41"/>
      <c r="G33" s="343"/>
      <c r="H33" s="343"/>
      <c r="I33" s="343"/>
      <c r="J33" s="53"/>
      <c r="M33" s="66"/>
      <c r="N33" s="66"/>
      <c r="O33" s="66"/>
      <c r="P33" s="66"/>
      <c r="Q33" s="66"/>
      <c r="R33" s="66"/>
    </row>
    <row r="34" spans="1:18" s="38" customFormat="1" ht="12.75" customHeight="1">
      <c r="A34" s="43"/>
      <c r="B34" s="43"/>
      <c r="C34" s="43"/>
      <c r="D34" s="43"/>
      <c r="E34" s="43"/>
      <c r="F34" s="40"/>
      <c r="G34" s="43"/>
      <c r="H34" s="18"/>
      <c r="I34" s="18"/>
      <c r="J34" s="53"/>
      <c r="M34" s="66"/>
      <c r="N34" s="66"/>
      <c r="O34" s="66"/>
      <c r="P34" s="66"/>
      <c r="Q34" s="66"/>
      <c r="R34" s="66"/>
    </row>
    <row r="35" spans="1:14" s="38" customFormat="1" ht="12.75" customHeight="1">
      <c r="A35" s="323"/>
      <c r="B35" s="323"/>
      <c r="C35" s="323"/>
      <c r="D35" s="323"/>
      <c r="E35" s="323"/>
      <c r="F35" s="41"/>
      <c r="G35" s="343"/>
      <c r="H35" s="343"/>
      <c r="I35" s="343"/>
      <c r="J35" s="69"/>
      <c r="L35" s="323"/>
      <c r="M35" s="323"/>
      <c r="N35" s="323"/>
    </row>
    <row r="36" spans="1:14" s="38" customFormat="1" ht="12.75" customHeight="1">
      <c r="A36" s="40"/>
      <c r="B36" s="40"/>
      <c r="C36" s="40"/>
      <c r="D36" s="63"/>
      <c r="E36" s="63"/>
      <c r="F36" s="63"/>
      <c r="G36" s="63"/>
      <c r="H36" s="70"/>
      <c r="I36" s="70"/>
      <c r="J36" s="69"/>
      <c r="L36" s="318" t="s">
        <v>97</v>
      </c>
      <c r="M36" s="318"/>
      <c r="N36" s="318"/>
    </row>
    <row r="37" spans="1:10" s="40" customFormat="1" ht="12.75" customHeight="1">
      <c r="A37" s="323"/>
      <c r="B37" s="323"/>
      <c r="C37" s="323"/>
      <c r="D37" s="323"/>
      <c r="E37" s="323"/>
      <c r="F37" s="41"/>
      <c r="G37" s="343"/>
      <c r="H37" s="343"/>
      <c r="I37" s="343"/>
      <c r="J37" s="69"/>
    </row>
    <row r="38" spans="1:10" s="38" customFormat="1" ht="12.75" customHeight="1">
      <c r="A38" s="40"/>
      <c r="B38" s="40"/>
      <c r="C38" s="40"/>
      <c r="D38" s="63"/>
      <c r="E38" s="63"/>
      <c r="F38" s="63"/>
      <c r="G38" s="63"/>
      <c r="H38" s="70"/>
      <c r="I38" s="70"/>
      <c r="J38" s="69"/>
    </row>
    <row r="39" spans="1:18" s="40" customFormat="1" ht="12.75" customHeight="1">
      <c r="A39" s="323"/>
      <c r="B39" s="323"/>
      <c r="C39" s="323"/>
      <c r="D39" s="323"/>
      <c r="E39" s="323"/>
      <c r="F39" s="41"/>
      <c r="G39" s="343"/>
      <c r="H39" s="343"/>
      <c r="I39" s="343"/>
      <c r="J39" s="69"/>
      <c r="L39" s="323"/>
      <c r="M39" s="323"/>
      <c r="N39" s="323"/>
      <c r="O39" s="68"/>
      <c r="P39" s="68"/>
      <c r="Q39" s="68"/>
      <c r="R39" s="68"/>
    </row>
    <row r="40" spans="1:18" s="38" customFormat="1" ht="12.75" customHeight="1">
      <c r="A40" s="40"/>
      <c r="B40" s="40"/>
      <c r="C40" s="40"/>
      <c r="D40" s="63"/>
      <c r="E40" s="63"/>
      <c r="F40" s="63"/>
      <c r="G40" s="63"/>
      <c r="H40" s="70"/>
      <c r="I40" s="70"/>
      <c r="J40" s="69"/>
      <c r="L40" s="318" t="s">
        <v>97</v>
      </c>
      <c r="M40" s="318"/>
      <c r="N40" s="318"/>
      <c r="O40" s="68"/>
      <c r="P40" s="68"/>
      <c r="Q40" s="68"/>
      <c r="R40" s="68"/>
    </row>
    <row r="41" spans="1:18" s="40" customFormat="1" ht="12.75" customHeight="1">
      <c r="A41" s="323"/>
      <c r="B41" s="323"/>
      <c r="C41" s="323"/>
      <c r="D41" s="323"/>
      <c r="E41" s="323"/>
      <c r="F41" s="41"/>
      <c r="G41" s="343"/>
      <c r="H41" s="343"/>
      <c r="I41" s="343"/>
      <c r="J41" s="69"/>
      <c r="M41" s="68"/>
      <c r="N41" s="68"/>
      <c r="O41" s="68"/>
      <c r="P41" s="68"/>
      <c r="Q41" s="68"/>
      <c r="R41" s="68"/>
    </row>
    <row r="42" spans="1:18" s="38" customFormat="1" ht="12.75" customHeight="1">
      <c r="A42" s="318" t="s">
        <v>98</v>
      </c>
      <c r="B42" s="318"/>
      <c r="C42" s="318"/>
      <c r="D42" s="318"/>
      <c r="E42" s="318"/>
      <c r="F42" s="41"/>
      <c r="G42" s="318" t="s">
        <v>54</v>
      </c>
      <c r="H42" s="318"/>
      <c r="I42" s="318"/>
      <c r="J42" s="53"/>
      <c r="M42" s="68"/>
      <c r="N42" s="68"/>
      <c r="O42" s="68"/>
      <c r="P42" s="68"/>
      <c r="Q42" s="68"/>
      <c r="R42" s="68"/>
    </row>
    <row r="43" spans="8:11" s="38" customFormat="1" ht="12.75" customHeight="1">
      <c r="H43" s="18"/>
      <c r="I43" s="18"/>
      <c r="J43" s="18"/>
      <c r="K43" s="40"/>
    </row>
    <row r="44" spans="8:11" s="38" customFormat="1" ht="12.75" customHeight="1">
      <c r="H44" s="18"/>
      <c r="I44" s="18"/>
      <c r="J44" s="18"/>
      <c r="K44" s="40"/>
    </row>
  </sheetData>
  <sheetProtection sheet="1"/>
  <mergeCells count="56">
    <mergeCell ref="D15:H15"/>
    <mergeCell ref="C24:D24"/>
    <mergeCell ref="C25:D25"/>
    <mergeCell ref="G35:I35"/>
    <mergeCell ref="A33:E33"/>
    <mergeCell ref="F27:H27"/>
    <mergeCell ref="G33:I33"/>
    <mergeCell ref="F24:H24"/>
    <mergeCell ref="C26:D26"/>
    <mergeCell ref="A35:E35"/>
    <mergeCell ref="O1:Q1"/>
    <mergeCell ref="J10:J11"/>
    <mergeCell ref="M1:N1"/>
    <mergeCell ref="G29:I29"/>
    <mergeCell ref="G31:I31"/>
    <mergeCell ref="G42:I42"/>
    <mergeCell ref="F26:H26"/>
    <mergeCell ref="B16:I16"/>
    <mergeCell ref="B19:I19"/>
    <mergeCell ref="B22:I22"/>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A29:E29"/>
    <mergeCell ref="A31:E31"/>
    <mergeCell ref="P26:R26"/>
    <mergeCell ref="L36:N36"/>
    <mergeCell ref="D4:I4"/>
    <mergeCell ref="B11:I11"/>
    <mergeCell ref="L13:Q13"/>
    <mergeCell ref="L11:P11"/>
    <mergeCell ref="L22:R22"/>
    <mergeCell ref="N23:O23"/>
    <mergeCell ref="R23:U23"/>
    <mergeCell ref="F25:H25"/>
    <mergeCell ref="L39:N39"/>
    <mergeCell ref="L29:R29"/>
    <mergeCell ref="M26:N26"/>
    <mergeCell ref="L25:N25"/>
    <mergeCell ref="L40:N40"/>
    <mergeCell ref="L30:M30"/>
    <mergeCell ref="N30:R30"/>
    <mergeCell ref="L32:N32"/>
    <mergeCell ref="L35:N35"/>
    <mergeCell ref="O25:R25"/>
  </mergeCells>
  <dataValidations count="2">
    <dataValidation type="list" allowBlank="1" showErrorMessage="1" errorTitle="Invalid Entry" error="Please select the budget version from the drop down list." sqref="D15:H15">
      <formula1>"Proposed, Adopted, Revised #1, Revised #2, Revised #3, Revised #4"</formula1>
    </dataValidation>
    <dataValidation type="textLength" operator="equal" allowBlank="1" showInputMessage="1" showErrorMessage="1" error="This cell will only accept entries of 9 digits.  For school district-sponsored charter schools the last three digits will be 700 or greater and end in 5 or 0.  All other charter schools enter your CTD number plus 3 zeros." sqref="R1">
      <formula1>9</formula1>
    </dataValidation>
  </dataValidations>
  <hyperlinks>
    <hyperlink ref="B16:I16" location="Version" display="Version"/>
    <hyperlink ref="L13:Q13" location="EstimatedRevenues" display="ESTIMATED REVENUES BY SOURCE FOR FISCAL YEAR 2014"/>
    <hyperlink ref="O1:Q1" location="CTDSNumber" display="CTDS NUMBER"/>
  </hyperlinks>
  <printOptions horizontalCentered="1" verticalCentered="1"/>
  <pageMargins left="0.75" right="0.5" top="0.5" bottom="0.5" header="0.5" footer="0.25"/>
  <pageSetup horizontalDpi="600" verticalDpi="600" orientation="landscape" paperSize="5" r:id="rId2"/>
  <headerFooter>
    <oddFooter>&amp;L&amp;"Arial,Bold"Rev. 5/14&amp;C&amp;"Arial,Bold"FY 2015</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R53"/>
  <sheetViews>
    <sheetView showGridLines="0" zoomScale="80" zoomScaleNormal="80" zoomScalePageLayoutView="70" workbookViewId="0" topLeftCell="A1">
      <selection activeCell="G17" sqref="G17"/>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Camp Verde Unified School District</v>
      </c>
      <c r="E1" s="353"/>
      <c r="F1" s="353"/>
      <c r="H1" s="73" t="s">
        <v>65</v>
      </c>
      <c r="I1" s="354" t="str">
        <f>Cover!M1</f>
        <v>Yavapai</v>
      </c>
      <c r="J1" s="354"/>
      <c r="L1" s="73" t="s">
        <v>103</v>
      </c>
      <c r="M1" s="355" t="str">
        <f>Cover!R1</f>
        <v>138771000</v>
      </c>
      <c r="N1" s="355"/>
    </row>
    <row r="2" spans="1:14" ht="3.75" customHeight="1">
      <c r="A2" s="127"/>
      <c r="B2" s="127"/>
      <c r="C2" s="127"/>
      <c r="D2" s="127"/>
      <c r="E2" s="127"/>
      <c r="F2" s="127"/>
      <c r="G2" s="127"/>
      <c r="H2" s="127"/>
      <c r="I2" s="127"/>
      <c r="J2" s="34"/>
      <c r="K2" s="34"/>
      <c r="L2" s="34"/>
      <c r="M2" s="34"/>
      <c r="N2" s="72"/>
    </row>
    <row r="3" spans="2:14" ht="12" customHeight="1">
      <c r="B3" s="275"/>
      <c r="F3" s="87"/>
      <c r="H3" s="87" t="s">
        <v>16</v>
      </c>
      <c r="I3" s="87"/>
      <c r="J3" s="87"/>
      <c r="K3" s="82" t="s">
        <v>73</v>
      </c>
      <c r="L3" s="83"/>
      <c r="M3" s="100"/>
      <c r="N3" s="128"/>
    </row>
    <row r="4" spans="1:14" ht="12" customHeight="1">
      <c r="A4" s="17" t="s">
        <v>14</v>
      </c>
      <c r="D4" s="356"/>
      <c r="F4" s="88"/>
      <c r="G4" s="289" t="s">
        <v>15</v>
      </c>
      <c r="H4" s="87" t="s">
        <v>19</v>
      </c>
      <c r="J4" s="88"/>
      <c r="K4" s="308" t="s">
        <v>302</v>
      </c>
      <c r="L4" s="87" t="s">
        <v>74</v>
      </c>
      <c r="M4" s="101" t="s">
        <v>75</v>
      </c>
      <c r="N4" s="128"/>
    </row>
    <row r="5" spans="4:14" ht="12" customHeight="1">
      <c r="D5" s="356"/>
      <c r="F5" s="87" t="s">
        <v>17</v>
      </c>
      <c r="G5" s="289" t="s">
        <v>18</v>
      </c>
      <c r="H5" s="87" t="s">
        <v>22</v>
      </c>
      <c r="I5" s="87" t="s">
        <v>20</v>
      </c>
      <c r="J5" s="87" t="s">
        <v>21</v>
      </c>
      <c r="K5" s="87" t="s">
        <v>66</v>
      </c>
      <c r="L5" s="87" t="s">
        <v>66</v>
      </c>
      <c r="M5" s="101" t="s">
        <v>76</v>
      </c>
      <c r="N5" s="128"/>
    </row>
    <row r="6" spans="1:14" ht="12" customHeight="1">
      <c r="A6" s="34" t="s">
        <v>13</v>
      </c>
      <c r="B6" s="34"/>
      <c r="C6" s="34"/>
      <c r="D6" s="34"/>
      <c r="E6" s="34"/>
      <c r="F6" s="90">
        <v>6100</v>
      </c>
      <c r="G6" s="90">
        <v>6200</v>
      </c>
      <c r="H6" s="90">
        <v>6500</v>
      </c>
      <c r="I6" s="90">
        <v>6600</v>
      </c>
      <c r="J6" s="90">
        <v>6800</v>
      </c>
      <c r="K6" s="87">
        <v>2014</v>
      </c>
      <c r="L6" s="101">
        <v>2015</v>
      </c>
      <c r="M6" s="101" t="s">
        <v>77</v>
      </c>
      <c r="N6" s="128"/>
    </row>
    <row r="7" spans="1:14" ht="12" customHeight="1">
      <c r="A7" s="17" t="s">
        <v>23</v>
      </c>
      <c r="F7" s="136"/>
      <c r="G7" s="136"/>
      <c r="H7" s="136"/>
      <c r="I7" s="136"/>
      <c r="J7" s="138"/>
      <c r="K7" s="1"/>
      <c r="L7" s="1"/>
      <c r="M7" s="80"/>
      <c r="N7" s="72"/>
    </row>
    <row r="8" spans="2:14" ht="12" customHeight="1">
      <c r="B8" s="17" t="s">
        <v>24</v>
      </c>
      <c r="E8" s="129">
        <v>1</v>
      </c>
      <c r="F8" s="109">
        <v>266913</v>
      </c>
      <c r="G8" s="109">
        <v>61900</v>
      </c>
      <c r="H8" s="109">
        <v>20069</v>
      </c>
      <c r="I8" s="109">
        <v>18557</v>
      </c>
      <c r="J8" s="189">
        <v>501</v>
      </c>
      <c r="K8" s="191">
        <f>'[1]Page 1'!$L$8</f>
        <v>295641</v>
      </c>
      <c r="L8" s="192">
        <f>SUM(F8:J8)</f>
        <v>367940</v>
      </c>
      <c r="M8" s="193">
        <f>IF(K8=0," ",(L8-K8)/K8)</f>
        <v>0.245</v>
      </c>
      <c r="N8" s="2">
        <v>1</v>
      </c>
    </row>
    <row r="9" spans="2:14" ht="12" customHeight="1">
      <c r="B9" s="17" t="s">
        <v>25</v>
      </c>
      <c r="E9" s="129"/>
      <c r="F9" s="136"/>
      <c r="G9" s="136"/>
      <c r="H9" s="136"/>
      <c r="I9" s="136"/>
      <c r="J9" s="138"/>
      <c r="K9" s="80"/>
      <c r="L9" s="80"/>
      <c r="M9" s="80"/>
      <c r="N9" s="2"/>
    </row>
    <row r="10" spans="2:14" ht="12" customHeight="1">
      <c r="B10" s="17" t="s">
        <v>143</v>
      </c>
      <c r="E10" s="129">
        <v>2</v>
      </c>
      <c r="F10" s="109">
        <v>21231</v>
      </c>
      <c r="G10" s="109">
        <v>4700</v>
      </c>
      <c r="H10" s="109">
        <v>7749</v>
      </c>
      <c r="I10" s="109">
        <v>110</v>
      </c>
      <c r="J10" s="189"/>
      <c r="K10" s="109">
        <f>'[1]Page 1'!$L$10</f>
        <v>18489</v>
      </c>
      <c r="L10" s="111">
        <f>SUM(F10:J10)</f>
        <v>33790</v>
      </c>
      <c r="M10" s="188">
        <f>IF(K10=0," ",(L10-K10)/K10)</f>
        <v>0.828</v>
      </c>
      <c r="N10" s="2">
        <v>2</v>
      </c>
    </row>
    <row r="11" spans="2:14" ht="12" customHeight="1">
      <c r="B11" s="17" t="s">
        <v>165</v>
      </c>
      <c r="E11" s="129">
        <v>3</v>
      </c>
      <c r="F11" s="27">
        <v>9657</v>
      </c>
      <c r="G11" s="27">
        <v>3019</v>
      </c>
      <c r="H11" s="27"/>
      <c r="I11" s="27"/>
      <c r="J11" s="27"/>
      <c r="K11" s="27">
        <f>'[1]Page 1'!$L$11</f>
        <v>9100</v>
      </c>
      <c r="L11" s="6">
        <f aca="true" t="shared" si="0" ref="L11:L23">SUM(F11:J11)</f>
        <v>12676</v>
      </c>
      <c r="M11" s="12">
        <f aca="true" t="shared" si="1" ref="M11:M23">IF(K11=0," ",(L11-K11)/K11)</f>
        <v>0.393</v>
      </c>
      <c r="N11" s="94">
        <v>3</v>
      </c>
    </row>
    <row r="12" spans="2:14" ht="12" customHeight="1">
      <c r="B12" s="17" t="s">
        <v>26</v>
      </c>
      <c r="E12" s="129">
        <v>4</v>
      </c>
      <c r="F12" s="27">
        <v>6500</v>
      </c>
      <c r="G12" s="27">
        <v>810</v>
      </c>
      <c r="H12" s="27">
        <v>4540</v>
      </c>
      <c r="I12" s="27"/>
      <c r="J12" s="27"/>
      <c r="K12" s="28">
        <f>'[1]Page 1'!$L$12</f>
        <v>9310</v>
      </c>
      <c r="L12" s="6">
        <f t="shared" si="0"/>
        <v>11850</v>
      </c>
      <c r="M12" s="12">
        <f t="shared" si="1"/>
        <v>0.273</v>
      </c>
      <c r="N12" s="94">
        <v>4</v>
      </c>
    </row>
    <row r="13" spans="2:14" ht="12" customHeight="1">
      <c r="B13" s="17" t="s">
        <v>27</v>
      </c>
      <c r="E13" s="129">
        <v>5</v>
      </c>
      <c r="F13" s="27">
        <v>32005</v>
      </c>
      <c r="G13" s="27">
        <v>9092</v>
      </c>
      <c r="H13" s="27"/>
      <c r="I13" s="27">
        <v>1395</v>
      </c>
      <c r="J13" s="27">
        <v>650</v>
      </c>
      <c r="K13" s="28">
        <f>'[1]Page 1'!$L$13</f>
        <v>45419</v>
      </c>
      <c r="L13" s="6">
        <f t="shared" si="0"/>
        <v>43142</v>
      </c>
      <c r="M13" s="12">
        <f t="shared" si="1"/>
        <v>-0.05</v>
      </c>
      <c r="N13" s="94">
        <v>5</v>
      </c>
    </row>
    <row r="14" spans="2:14" ht="12" customHeight="1">
      <c r="B14" s="17" t="s">
        <v>166</v>
      </c>
      <c r="E14" s="129">
        <v>6</v>
      </c>
      <c r="F14" s="27">
        <v>16000</v>
      </c>
      <c r="G14" s="27">
        <v>5200</v>
      </c>
      <c r="H14" s="27">
        <v>6670</v>
      </c>
      <c r="I14" s="27"/>
      <c r="J14" s="27"/>
      <c r="K14" s="28">
        <f>'[1]Page 1'!$L$14</f>
        <v>13870</v>
      </c>
      <c r="L14" s="6">
        <f>SUM(F14:J14)</f>
        <v>27870</v>
      </c>
      <c r="M14" s="12">
        <f t="shared" si="1"/>
        <v>1.009</v>
      </c>
      <c r="N14" s="94">
        <v>6</v>
      </c>
    </row>
    <row r="15" spans="2:14" ht="12" customHeight="1">
      <c r="B15" s="17" t="s">
        <v>167</v>
      </c>
      <c r="E15" s="129">
        <v>7</v>
      </c>
      <c r="F15" s="27">
        <v>23500</v>
      </c>
      <c r="G15" s="27">
        <v>4855</v>
      </c>
      <c r="H15" s="27">
        <v>8068</v>
      </c>
      <c r="I15" s="27">
        <v>15780</v>
      </c>
      <c r="J15" s="27"/>
      <c r="K15" s="28">
        <f>'[1]Page 1'!$L$15</f>
        <v>45703</v>
      </c>
      <c r="L15" s="6">
        <f t="shared" si="0"/>
        <v>52203</v>
      </c>
      <c r="M15" s="12">
        <f t="shared" si="1"/>
        <v>0.142</v>
      </c>
      <c r="N15" s="94">
        <v>7</v>
      </c>
    </row>
    <row r="16" spans="2:14" ht="12" customHeight="1">
      <c r="B16" s="17" t="s">
        <v>87</v>
      </c>
      <c r="E16" s="129">
        <v>8</v>
      </c>
      <c r="F16" s="27"/>
      <c r="G16" s="27"/>
      <c r="H16" s="27"/>
      <c r="I16" s="27"/>
      <c r="J16" s="27"/>
      <c r="K16" s="28">
        <f>'[1]Page 1'!$L$16</f>
        <v>0</v>
      </c>
      <c r="L16" s="6">
        <f t="shared" si="0"/>
        <v>0</v>
      </c>
      <c r="M16" s="12" t="str">
        <f t="shared" si="1"/>
        <v> </v>
      </c>
      <c r="N16" s="94">
        <v>8</v>
      </c>
    </row>
    <row r="17" spans="2:14" ht="12" customHeight="1">
      <c r="B17" s="17" t="s">
        <v>28</v>
      </c>
      <c r="E17" s="129">
        <v>9</v>
      </c>
      <c r="F17" s="27"/>
      <c r="G17" s="27"/>
      <c r="H17" s="27"/>
      <c r="I17" s="27"/>
      <c r="J17" s="27"/>
      <c r="K17" s="28">
        <f>'[1]Page 1'!$L$17</f>
        <v>0</v>
      </c>
      <c r="L17" s="6">
        <f t="shared" si="0"/>
        <v>0</v>
      </c>
      <c r="M17" s="12" t="str">
        <f t="shared" si="1"/>
        <v> </v>
      </c>
      <c r="N17" s="94">
        <v>9</v>
      </c>
    </row>
    <row r="18" spans="2:14" ht="12" customHeight="1">
      <c r="B18" s="17" t="s">
        <v>168</v>
      </c>
      <c r="E18" s="3">
        <v>10</v>
      </c>
      <c r="F18" s="27"/>
      <c r="G18" s="27"/>
      <c r="H18" s="27"/>
      <c r="I18" s="27"/>
      <c r="J18" s="27"/>
      <c r="K18" s="28">
        <f>'[1]Page 1'!$L$18</f>
        <v>0</v>
      </c>
      <c r="L18" s="6">
        <f t="shared" si="0"/>
        <v>0</v>
      </c>
      <c r="M18" s="12" t="str">
        <f t="shared" si="1"/>
        <v> </v>
      </c>
      <c r="N18" s="94">
        <v>10</v>
      </c>
    </row>
    <row r="19" spans="1:14" ht="12" customHeight="1">
      <c r="A19" s="14"/>
      <c r="B19" s="14" t="s">
        <v>29</v>
      </c>
      <c r="C19" s="14"/>
      <c r="D19" s="14"/>
      <c r="E19" s="23">
        <v>11</v>
      </c>
      <c r="F19" s="130"/>
      <c r="G19" s="27"/>
      <c r="H19" s="27"/>
      <c r="I19" s="27"/>
      <c r="J19" s="27">
        <v>74192</v>
      </c>
      <c r="K19" s="28">
        <f>'[1]Page 1'!$L$19</f>
        <v>74192</v>
      </c>
      <c r="L19" s="6">
        <f t="shared" si="0"/>
        <v>74192</v>
      </c>
      <c r="M19" s="12">
        <f t="shared" si="1"/>
        <v>0</v>
      </c>
      <c r="N19" s="94">
        <v>11</v>
      </c>
    </row>
    <row r="20" spans="1:14" ht="12" customHeight="1">
      <c r="A20" s="14" t="s">
        <v>88</v>
      </c>
      <c r="B20" s="14"/>
      <c r="C20" s="14"/>
      <c r="D20" s="14"/>
      <c r="E20" s="23">
        <v>12</v>
      </c>
      <c r="F20" s="130"/>
      <c r="G20" s="27"/>
      <c r="H20" s="27"/>
      <c r="I20" s="27"/>
      <c r="J20" s="27"/>
      <c r="K20" s="27">
        <f>'[1]Page 1'!$L$20</f>
        <v>0</v>
      </c>
      <c r="L20" s="6">
        <f t="shared" si="0"/>
        <v>0</v>
      </c>
      <c r="M20" s="12" t="str">
        <f t="shared" si="1"/>
        <v> </v>
      </c>
      <c r="N20" s="94">
        <v>12</v>
      </c>
    </row>
    <row r="21" spans="1:14" ht="12" customHeight="1">
      <c r="A21" s="14" t="s">
        <v>90</v>
      </c>
      <c r="B21" s="14"/>
      <c r="C21" s="14"/>
      <c r="D21" s="14"/>
      <c r="E21" s="23">
        <v>13</v>
      </c>
      <c r="F21" s="130">
        <v>500</v>
      </c>
      <c r="G21" s="27">
        <v>100</v>
      </c>
      <c r="H21" s="27">
        <v>5000</v>
      </c>
      <c r="I21" s="27">
        <v>3700</v>
      </c>
      <c r="J21" s="27"/>
      <c r="K21" s="27">
        <f>'[1]Page 1'!$L$21</f>
        <v>7300</v>
      </c>
      <c r="L21" s="6">
        <f>SUM(F21:J21)</f>
        <v>9300</v>
      </c>
      <c r="M21" s="12">
        <f t="shared" si="1"/>
        <v>0.274</v>
      </c>
      <c r="N21" s="94">
        <v>13</v>
      </c>
    </row>
    <row r="22" spans="1:14" ht="12" customHeight="1">
      <c r="A22" s="14" t="s">
        <v>89</v>
      </c>
      <c r="B22" s="14"/>
      <c r="C22" s="14"/>
      <c r="D22" s="14"/>
      <c r="E22" s="23">
        <v>14</v>
      </c>
      <c r="F22" s="130"/>
      <c r="G22" s="27"/>
      <c r="H22" s="27"/>
      <c r="I22" s="27"/>
      <c r="J22" s="27"/>
      <c r="K22" s="27">
        <f>'[1]Page 1'!$L$22</f>
        <v>0</v>
      </c>
      <c r="L22" s="6">
        <f t="shared" si="0"/>
        <v>0</v>
      </c>
      <c r="M22" s="12" t="str">
        <f t="shared" si="1"/>
        <v> </v>
      </c>
      <c r="N22" s="94">
        <v>14</v>
      </c>
    </row>
    <row r="23" spans="1:14" ht="12" customHeight="1">
      <c r="A23" s="34"/>
      <c r="B23" s="34" t="s">
        <v>159</v>
      </c>
      <c r="C23" s="34"/>
      <c r="D23" s="34"/>
      <c r="E23" s="25">
        <v>15</v>
      </c>
      <c r="F23" s="6">
        <f>SUM(F7:F22)</f>
        <v>376306</v>
      </c>
      <c r="G23" s="6">
        <f>SUM(G7:G22)</f>
        <v>89676</v>
      </c>
      <c r="H23" s="6">
        <f>SUM(H7:H22)</f>
        <v>52096</v>
      </c>
      <c r="I23" s="6">
        <f>SUM(I7:I22)</f>
        <v>39542</v>
      </c>
      <c r="J23" s="6">
        <f>SUM(J7:J22)</f>
        <v>75343</v>
      </c>
      <c r="K23" s="185">
        <f>SUM(K8:K22)</f>
        <v>519024</v>
      </c>
      <c r="L23" s="185">
        <f t="shared" si="0"/>
        <v>632963</v>
      </c>
      <c r="M23" s="12">
        <f t="shared" si="1"/>
        <v>0.22</v>
      </c>
      <c r="N23" s="94">
        <v>15</v>
      </c>
    </row>
    <row r="24" spans="1:14" ht="12" customHeight="1">
      <c r="A24" s="290" t="s">
        <v>30</v>
      </c>
      <c r="B24" s="290"/>
      <c r="C24" s="290"/>
      <c r="D24" s="290"/>
      <c r="E24" s="129"/>
      <c r="F24" s="136"/>
      <c r="G24" s="136"/>
      <c r="H24" s="136"/>
      <c r="I24" s="136"/>
      <c r="J24" s="138"/>
      <c r="K24" s="80"/>
      <c r="L24" s="80"/>
      <c r="M24" s="80"/>
      <c r="N24" s="94"/>
    </row>
    <row r="25" spans="2:14" ht="12" customHeight="1">
      <c r="B25" s="17" t="s">
        <v>24</v>
      </c>
      <c r="E25" s="129">
        <v>16</v>
      </c>
      <c r="F25" s="109">
        <v>15100</v>
      </c>
      <c r="G25" s="109">
        <v>7000</v>
      </c>
      <c r="H25" s="109"/>
      <c r="I25" s="109"/>
      <c r="J25" s="189"/>
      <c r="K25" s="109">
        <f>'[1]Page 1'!$L$25</f>
        <v>22075</v>
      </c>
      <c r="L25" s="111">
        <f>SUM(F25:J25)</f>
        <v>22100</v>
      </c>
      <c r="M25" s="260">
        <f>IF(K25=0," ",(L25-K25)/K25)</f>
        <v>0.001</v>
      </c>
      <c r="N25" s="94">
        <v>16</v>
      </c>
    </row>
    <row r="26" spans="2:14" ht="12" customHeight="1">
      <c r="B26" s="17" t="s">
        <v>25</v>
      </c>
      <c r="E26" s="129"/>
      <c r="F26" s="136"/>
      <c r="G26" s="136"/>
      <c r="H26" s="136"/>
      <c r="I26" s="136"/>
      <c r="J26" s="138"/>
      <c r="K26" s="80"/>
      <c r="L26" s="80"/>
      <c r="M26" s="80"/>
      <c r="N26" s="94"/>
    </row>
    <row r="27" spans="2:14" ht="12" customHeight="1">
      <c r="B27" s="17" t="s">
        <v>143</v>
      </c>
      <c r="E27" s="23">
        <v>17</v>
      </c>
      <c r="F27" s="109"/>
      <c r="G27" s="109"/>
      <c r="H27" s="109"/>
      <c r="I27" s="109"/>
      <c r="J27" s="189"/>
      <c r="K27" s="109">
        <f>'[1]Page 1'!$L$27</f>
        <v>0</v>
      </c>
      <c r="L27" s="111">
        <f>SUM(F27:J27)</f>
        <v>0</v>
      </c>
      <c r="M27" s="260" t="str">
        <f>IF(K27=0," ",(L27-K27)/K27)</f>
        <v> </v>
      </c>
      <c r="N27" s="94">
        <v>17</v>
      </c>
    </row>
    <row r="28" spans="2:14" ht="12" customHeight="1">
      <c r="B28" s="17" t="s">
        <v>165</v>
      </c>
      <c r="E28" s="23">
        <v>18</v>
      </c>
      <c r="F28" s="27"/>
      <c r="G28" s="27"/>
      <c r="H28" s="27"/>
      <c r="I28" s="27"/>
      <c r="J28" s="27"/>
      <c r="K28" s="27">
        <f>'[1]Page 1'!$L$28</f>
        <v>0</v>
      </c>
      <c r="L28" s="6">
        <f aca="true" t="shared" si="2" ref="L28:L42">SUM(F28:J28)</f>
        <v>0</v>
      </c>
      <c r="M28" s="139" t="str">
        <f aca="true" t="shared" si="3" ref="M28:M49">IF(K28=0," ",(L28-K28)/K28)</f>
        <v> </v>
      </c>
      <c r="N28" s="94">
        <v>18</v>
      </c>
    </row>
    <row r="29" spans="2:14" ht="12" customHeight="1">
      <c r="B29" s="17" t="s">
        <v>26</v>
      </c>
      <c r="E29" s="23">
        <v>19</v>
      </c>
      <c r="F29" s="27"/>
      <c r="G29" s="27"/>
      <c r="H29" s="27"/>
      <c r="I29" s="27"/>
      <c r="J29" s="27"/>
      <c r="K29" s="28">
        <f>'[1]Page 1'!$L$29</f>
        <v>0</v>
      </c>
      <c r="L29" s="6">
        <f t="shared" si="2"/>
        <v>0</v>
      </c>
      <c r="M29" s="12" t="str">
        <f t="shared" si="3"/>
        <v> </v>
      </c>
      <c r="N29" s="94">
        <v>19</v>
      </c>
    </row>
    <row r="30" spans="2:14" ht="12" customHeight="1">
      <c r="B30" s="17" t="s">
        <v>27</v>
      </c>
      <c r="E30" s="23">
        <v>20</v>
      </c>
      <c r="F30" s="27"/>
      <c r="G30" s="27"/>
      <c r="H30" s="27"/>
      <c r="I30" s="27"/>
      <c r="J30" s="27"/>
      <c r="K30" s="28">
        <f>'[1]Page 1'!$L$30</f>
        <v>0</v>
      </c>
      <c r="L30" s="6">
        <f t="shared" si="2"/>
        <v>0</v>
      </c>
      <c r="M30" s="12" t="str">
        <f t="shared" si="3"/>
        <v> </v>
      </c>
      <c r="N30" s="94">
        <v>20</v>
      </c>
    </row>
    <row r="31" spans="2:14" ht="12" customHeight="1">
      <c r="B31" s="17" t="s">
        <v>166</v>
      </c>
      <c r="E31" s="23">
        <v>21</v>
      </c>
      <c r="F31" s="27"/>
      <c r="G31" s="27"/>
      <c r="H31" s="27"/>
      <c r="I31" s="27"/>
      <c r="J31" s="27"/>
      <c r="K31" s="28">
        <f>'[1]Page 1'!$L$31</f>
        <v>0</v>
      </c>
      <c r="L31" s="6">
        <f>SUM(F31:J31)</f>
        <v>0</v>
      </c>
      <c r="M31" s="12" t="str">
        <f t="shared" si="3"/>
        <v> </v>
      </c>
      <c r="N31" s="94">
        <v>21</v>
      </c>
    </row>
    <row r="32" spans="2:14" ht="12" customHeight="1">
      <c r="B32" s="17" t="s">
        <v>167</v>
      </c>
      <c r="E32" s="23">
        <v>22</v>
      </c>
      <c r="F32" s="27"/>
      <c r="G32" s="27"/>
      <c r="H32" s="27"/>
      <c r="I32" s="27"/>
      <c r="J32" s="27"/>
      <c r="K32" s="28">
        <f>'[1]Page 1'!$L$32</f>
        <v>0</v>
      </c>
      <c r="L32" s="6">
        <f t="shared" si="2"/>
        <v>0</v>
      </c>
      <c r="M32" s="12" t="str">
        <f t="shared" si="3"/>
        <v> </v>
      </c>
      <c r="N32" s="94">
        <v>22</v>
      </c>
    </row>
    <row r="33" spans="2:14" ht="12" customHeight="1">
      <c r="B33" s="17" t="s">
        <v>87</v>
      </c>
      <c r="E33" s="23">
        <v>23</v>
      </c>
      <c r="F33" s="27"/>
      <c r="G33" s="27"/>
      <c r="H33" s="27"/>
      <c r="I33" s="27"/>
      <c r="J33" s="27"/>
      <c r="K33" s="28">
        <f>'[1]Page 1'!$L$33</f>
        <v>0</v>
      </c>
      <c r="L33" s="6">
        <f t="shared" si="2"/>
        <v>0</v>
      </c>
      <c r="M33" s="12" t="str">
        <f t="shared" si="3"/>
        <v> </v>
      </c>
      <c r="N33" s="94">
        <v>23</v>
      </c>
    </row>
    <row r="34" spans="2:18" ht="12" customHeight="1">
      <c r="B34" s="17" t="s">
        <v>28</v>
      </c>
      <c r="E34" s="23">
        <v>24</v>
      </c>
      <c r="F34" s="27"/>
      <c r="G34" s="27"/>
      <c r="H34" s="27"/>
      <c r="I34" s="27"/>
      <c r="J34" s="27"/>
      <c r="K34" s="28">
        <f>'[1]Page 1'!$L$34</f>
        <v>0</v>
      </c>
      <c r="L34" s="6">
        <f t="shared" si="2"/>
        <v>0</v>
      </c>
      <c r="M34" s="12" t="str">
        <f t="shared" si="3"/>
        <v> </v>
      </c>
      <c r="N34" s="94">
        <v>24</v>
      </c>
      <c r="R34" s="275"/>
    </row>
    <row r="35" spans="2:14" ht="12" customHeight="1">
      <c r="B35" s="17" t="s">
        <v>168</v>
      </c>
      <c r="E35" s="23">
        <v>25</v>
      </c>
      <c r="F35" s="27"/>
      <c r="G35" s="27"/>
      <c r="H35" s="27"/>
      <c r="I35" s="27"/>
      <c r="J35" s="27"/>
      <c r="K35" s="28">
        <f>'[1]Page 1'!$L$35</f>
        <v>0</v>
      </c>
      <c r="L35" s="6">
        <f t="shared" si="2"/>
        <v>0</v>
      </c>
      <c r="M35" s="12" t="str">
        <f t="shared" si="3"/>
        <v> </v>
      </c>
      <c r="N35" s="94">
        <v>25</v>
      </c>
    </row>
    <row r="36" spans="1:14" ht="12" customHeight="1">
      <c r="A36" s="14"/>
      <c r="B36" s="14" t="s">
        <v>29</v>
      </c>
      <c r="C36" s="14"/>
      <c r="D36" s="14"/>
      <c r="E36" s="3">
        <v>26</v>
      </c>
      <c r="F36" s="27"/>
      <c r="G36" s="27"/>
      <c r="H36" s="27"/>
      <c r="I36" s="27"/>
      <c r="J36" s="27"/>
      <c r="K36" s="28">
        <f>'[1]Page 1'!$L$36</f>
        <v>0</v>
      </c>
      <c r="L36" s="6">
        <f t="shared" si="2"/>
        <v>0</v>
      </c>
      <c r="M36" s="12" t="str">
        <f t="shared" si="3"/>
        <v> </v>
      </c>
      <c r="N36" s="94">
        <v>26</v>
      </c>
    </row>
    <row r="37" spans="1:14" ht="12" customHeight="1">
      <c r="A37" s="34"/>
      <c r="B37" s="34" t="s">
        <v>100</v>
      </c>
      <c r="C37" s="34"/>
      <c r="D37" s="34"/>
      <c r="E37" s="25">
        <v>27</v>
      </c>
      <c r="F37" s="6">
        <f>SUM(F24:F36)</f>
        <v>15100</v>
      </c>
      <c r="G37" s="6">
        <f>SUM(G24:G36)</f>
        <v>7000</v>
      </c>
      <c r="H37" s="6">
        <f>SUM(H24:H36)</f>
        <v>0</v>
      </c>
      <c r="I37" s="6">
        <f>SUM(I24:I36)</f>
        <v>0</v>
      </c>
      <c r="J37" s="6">
        <f>SUM(J24:J36)</f>
        <v>0</v>
      </c>
      <c r="K37" s="6">
        <f>SUM(K25:K36)</f>
        <v>22075</v>
      </c>
      <c r="L37" s="6">
        <f t="shared" si="2"/>
        <v>22100</v>
      </c>
      <c r="M37" s="12">
        <f t="shared" si="3"/>
        <v>0.001</v>
      </c>
      <c r="N37" s="94">
        <v>27</v>
      </c>
    </row>
    <row r="38" spans="1:14" ht="12" customHeight="1">
      <c r="A38" s="291" t="s">
        <v>169</v>
      </c>
      <c r="B38" s="284"/>
      <c r="C38" s="284"/>
      <c r="D38" s="284"/>
      <c r="E38" s="5">
        <v>28</v>
      </c>
      <c r="F38" s="27"/>
      <c r="G38" s="27"/>
      <c r="H38" s="27"/>
      <c r="I38" s="27"/>
      <c r="J38" s="27"/>
      <c r="K38" s="28">
        <f>'[1]Page 1'!$L$38</f>
        <v>0</v>
      </c>
      <c r="L38" s="6">
        <f>SUM(F38:J38)</f>
        <v>0</v>
      </c>
      <c r="M38" s="12" t="str">
        <f t="shared" si="3"/>
        <v> </v>
      </c>
      <c r="N38" s="94">
        <v>28</v>
      </c>
    </row>
    <row r="39" spans="1:14" ht="12" customHeight="1">
      <c r="A39" s="34" t="s">
        <v>31</v>
      </c>
      <c r="B39" s="34"/>
      <c r="C39" s="34"/>
      <c r="D39" s="34"/>
      <c r="E39" s="5">
        <v>29</v>
      </c>
      <c r="F39" s="317">
        <v>16000</v>
      </c>
      <c r="G39" s="317">
        <v>2550</v>
      </c>
      <c r="H39" s="27"/>
      <c r="I39" s="27"/>
      <c r="J39" s="27"/>
      <c r="K39" s="28">
        <f>'[1]Page 1'!$L$39</f>
        <v>9150</v>
      </c>
      <c r="L39" s="6">
        <f t="shared" si="2"/>
        <v>18550</v>
      </c>
      <c r="M39" s="12">
        <f t="shared" si="3"/>
        <v>1.027</v>
      </c>
      <c r="N39" s="94">
        <v>29</v>
      </c>
    </row>
    <row r="40" spans="1:14" ht="12" customHeight="1">
      <c r="A40" s="34" t="s">
        <v>32</v>
      </c>
      <c r="B40" s="34"/>
      <c r="C40" s="34"/>
      <c r="D40" s="34"/>
      <c r="E40" s="5">
        <v>30</v>
      </c>
      <c r="F40" s="27"/>
      <c r="G40" s="27"/>
      <c r="H40" s="27"/>
      <c r="I40" s="27"/>
      <c r="J40" s="27"/>
      <c r="K40" s="28">
        <f>'[1]Page 1'!$L$40</f>
        <v>0</v>
      </c>
      <c r="L40" s="6">
        <f>SUM(F40:J40)</f>
        <v>0</v>
      </c>
      <c r="M40" s="12" t="str">
        <f t="shared" si="3"/>
        <v> </v>
      </c>
      <c r="N40" s="94">
        <v>30</v>
      </c>
    </row>
    <row r="41" spans="1:14" ht="12" customHeight="1">
      <c r="A41" s="34" t="s">
        <v>170</v>
      </c>
      <c r="B41" s="34"/>
      <c r="C41" s="34"/>
      <c r="D41" s="34"/>
      <c r="E41" s="5">
        <v>31</v>
      </c>
      <c r="F41" s="27"/>
      <c r="G41" s="27"/>
      <c r="H41" s="27"/>
      <c r="I41" s="27"/>
      <c r="J41" s="27"/>
      <c r="K41" s="28">
        <f>'[1]Page 1'!$L$41</f>
        <v>0</v>
      </c>
      <c r="L41" s="6">
        <f t="shared" si="2"/>
        <v>0</v>
      </c>
      <c r="M41" s="12" t="str">
        <f t="shared" si="3"/>
        <v> </v>
      </c>
      <c r="N41" s="94">
        <v>31</v>
      </c>
    </row>
    <row r="42" spans="1:14" ht="12" customHeight="1">
      <c r="A42" s="291" t="s">
        <v>245</v>
      </c>
      <c r="B42" s="284"/>
      <c r="C42" s="284"/>
      <c r="D42" s="284"/>
      <c r="E42" s="5">
        <v>32</v>
      </c>
      <c r="F42" s="27"/>
      <c r="G42" s="27"/>
      <c r="H42" s="27"/>
      <c r="I42" s="27"/>
      <c r="J42" s="27"/>
      <c r="K42" s="28">
        <f>'[1]Page 1'!$L$42</f>
        <v>0</v>
      </c>
      <c r="L42" s="6">
        <f t="shared" si="2"/>
        <v>0</v>
      </c>
      <c r="M42" s="12" t="str">
        <f t="shared" si="3"/>
        <v> </v>
      </c>
      <c r="N42" s="94">
        <v>32</v>
      </c>
    </row>
    <row r="43" spans="1:14" ht="12" customHeight="1">
      <c r="A43" s="34"/>
      <c r="B43" s="145" t="s">
        <v>246</v>
      </c>
      <c r="C43" s="34"/>
      <c r="D43" s="34"/>
      <c r="E43" s="5">
        <v>33</v>
      </c>
      <c r="F43" s="6">
        <f aca="true" t="shared" si="4" ref="F43:K43">SUM(F37:F42)+F23</f>
        <v>407406</v>
      </c>
      <c r="G43" s="6">
        <f t="shared" si="4"/>
        <v>99226</v>
      </c>
      <c r="H43" s="6">
        <f t="shared" si="4"/>
        <v>52096</v>
      </c>
      <c r="I43" s="6">
        <f t="shared" si="4"/>
        <v>39542</v>
      </c>
      <c r="J43" s="6">
        <f t="shared" si="4"/>
        <v>75343</v>
      </c>
      <c r="K43" s="6">
        <f t="shared" si="4"/>
        <v>550249</v>
      </c>
      <c r="L43" s="6">
        <f>SUM(F43:J43)</f>
        <v>673613</v>
      </c>
      <c r="M43" s="12">
        <f t="shared" si="3"/>
        <v>0.224</v>
      </c>
      <c r="N43" s="94">
        <v>33</v>
      </c>
    </row>
    <row r="44" spans="1:14" ht="12" customHeight="1">
      <c r="A44" s="145" t="s">
        <v>160</v>
      </c>
      <c r="B44" s="34"/>
      <c r="C44" s="34"/>
      <c r="D44" s="34"/>
      <c r="E44" s="5">
        <v>34</v>
      </c>
      <c r="F44" s="6">
        <f>TotalCSP6100</f>
        <v>14576</v>
      </c>
      <c r="G44" s="6">
        <f>TotalCSP6200</f>
        <v>1300</v>
      </c>
      <c r="H44" s="6">
        <f>TotalCSP630064006500</f>
        <v>0</v>
      </c>
      <c r="I44" s="6">
        <f>TotalCSP6600</f>
        <v>0</v>
      </c>
      <c r="J44" s="135"/>
      <c r="K44" s="27">
        <f>'[1]Page 1'!$L$44</f>
        <v>15876</v>
      </c>
      <c r="L44" s="6">
        <f>SUM(F44:J44)</f>
        <v>15876</v>
      </c>
      <c r="M44" s="12">
        <f t="shared" si="3"/>
        <v>0</v>
      </c>
      <c r="N44" s="94">
        <v>34</v>
      </c>
    </row>
    <row r="45" spans="1:14" ht="12" customHeight="1">
      <c r="A45" s="145" t="s">
        <v>214</v>
      </c>
      <c r="B45" s="34"/>
      <c r="C45" s="34"/>
      <c r="D45" s="34"/>
      <c r="E45" s="5">
        <v>35</v>
      </c>
      <c r="F45" s="135"/>
      <c r="G45" s="135"/>
      <c r="H45" s="135"/>
      <c r="I45" s="135"/>
      <c r="J45" s="135"/>
      <c r="K45" s="27">
        <f>'[1]Page 1'!$L$45</f>
        <v>4000</v>
      </c>
      <c r="L45" s="6">
        <f>TotalInstructionalImprovement</f>
        <v>4000</v>
      </c>
      <c r="M45" s="12">
        <f t="shared" si="3"/>
        <v>0</v>
      </c>
      <c r="N45" s="94">
        <v>35</v>
      </c>
    </row>
    <row r="46" spans="1:14" ht="12" customHeight="1">
      <c r="A46" s="145" t="s">
        <v>198</v>
      </c>
      <c r="B46" s="34"/>
      <c r="C46" s="34"/>
      <c r="D46" s="34"/>
      <c r="E46" s="5">
        <v>36</v>
      </c>
      <c r="F46" s="6">
        <f>TotalSEIP6100</f>
        <v>0</v>
      </c>
      <c r="G46" s="6">
        <f>TotalSEIP6200</f>
        <v>0</v>
      </c>
      <c r="H46" s="6">
        <f>TotalSEIP630064006500</f>
        <v>0</v>
      </c>
      <c r="I46" s="6">
        <f>TotalSEIP6600</f>
        <v>0</v>
      </c>
      <c r="J46" s="6">
        <f>TotalSEIP6800</f>
        <v>0</v>
      </c>
      <c r="K46" s="27">
        <f>'[1]Page 1'!$L$46</f>
        <v>0</v>
      </c>
      <c r="L46" s="6">
        <f>TotalSEIP</f>
        <v>0</v>
      </c>
      <c r="M46" s="12" t="str">
        <f t="shared" si="3"/>
        <v> </v>
      </c>
      <c r="N46" s="94">
        <v>36</v>
      </c>
    </row>
    <row r="47" spans="1:14" ht="12" customHeight="1">
      <c r="A47" s="145" t="s">
        <v>199</v>
      </c>
      <c r="B47" s="34"/>
      <c r="C47" s="34"/>
      <c r="D47" s="34"/>
      <c r="E47" s="5">
        <v>37</v>
      </c>
      <c r="F47" s="6">
        <f>TotalCIP6100</f>
        <v>0</v>
      </c>
      <c r="G47" s="6">
        <f>TotalCIP6200</f>
        <v>0</v>
      </c>
      <c r="H47" s="6">
        <f>TotalCIP630064006500</f>
        <v>0</v>
      </c>
      <c r="I47" s="6">
        <f>TotalCIP6600</f>
        <v>0</v>
      </c>
      <c r="J47" s="6">
        <f>TotalCIP6800</f>
        <v>0</v>
      </c>
      <c r="K47" s="28">
        <f>'[1]Page 1'!$L$47</f>
        <v>0</v>
      </c>
      <c r="L47" s="6">
        <f>TotalCIP</f>
        <v>0</v>
      </c>
      <c r="M47" s="12" t="str">
        <f t="shared" si="3"/>
        <v> </v>
      </c>
      <c r="N47" s="94">
        <v>37</v>
      </c>
    </row>
    <row r="48" spans="1:14" ht="12" customHeight="1">
      <c r="A48" s="145" t="s">
        <v>308</v>
      </c>
      <c r="B48" s="34"/>
      <c r="C48" s="34"/>
      <c r="D48" s="34"/>
      <c r="E48" s="5">
        <v>38</v>
      </c>
      <c r="F48" s="135"/>
      <c r="G48" s="135"/>
      <c r="H48" s="135"/>
      <c r="I48" s="135"/>
      <c r="J48" s="135"/>
      <c r="K48" s="135"/>
      <c r="L48" s="27">
        <v>1409</v>
      </c>
      <c r="M48" s="314" t="str">
        <f t="shared" si="3"/>
        <v> </v>
      </c>
      <c r="N48" s="94">
        <v>38</v>
      </c>
    </row>
    <row r="49" spans="1:14" ht="12" customHeight="1">
      <c r="A49" s="291" t="s">
        <v>249</v>
      </c>
      <c r="B49" s="291"/>
      <c r="C49" s="291"/>
      <c r="D49" s="291"/>
      <c r="E49" s="297">
        <v>39</v>
      </c>
      <c r="F49" s="135"/>
      <c r="G49" s="135"/>
      <c r="H49" s="135"/>
      <c r="I49" s="135"/>
      <c r="J49" s="135"/>
      <c r="K49" s="28">
        <f>'[1]Page 1'!$L$48</f>
        <v>29108</v>
      </c>
      <c r="L49" s="6">
        <f>FederalandStateProjectsTotal</f>
        <v>14323</v>
      </c>
      <c r="M49" s="12">
        <f t="shared" si="3"/>
        <v>-0.508</v>
      </c>
      <c r="N49" s="94">
        <v>39</v>
      </c>
    </row>
    <row r="50" spans="1:14" ht="12" customHeight="1">
      <c r="A50" s="99"/>
      <c r="B50" s="145" t="s">
        <v>309</v>
      </c>
      <c r="C50" s="34"/>
      <c r="D50" s="34"/>
      <c r="E50" s="5">
        <v>40</v>
      </c>
      <c r="F50" s="13">
        <f>SUM(F43+F44+F46+F47)</f>
        <v>421982</v>
      </c>
      <c r="G50" s="13">
        <f>SUM(G43+G44+G46+G47)</f>
        <v>100526</v>
      </c>
      <c r="H50" s="13">
        <f>SUM(H43+H44+H46+H47)</f>
        <v>52096</v>
      </c>
      <c r="I50" s="13">
        <f>SUM(I43+I44+I46+I47)</f>
        <v>39542</v>
      </c>
      <c r="J50" s="13">
        <f>SUM(J43+J46+J47)</f>
        <v>75343</v>
      </c>
      <c r="K50" s="10">
        <f>SUM(K43:K49)</f>
        <v>599233</v>
      </c>
      <c r="L50" s="10">
        <f>SUM(L43:L49)</f>
        <v>709221</v>
      </c>
      <c r="M50" s="12">
        <f>IF(K50=0," ",(L50-K50)/K50)</f>
        <v>0.184</v>
      </c>
      <c r="N50" s="94">
        <v>40</v>
      </c>
    </row>
    <row r="53" ht="12.75" customHeight="1">
      <c r="F53" s="275"/>
    </row>
  </sheetData>
  <sheetProtection sheet="1"/>
  <mergeCells count="4">
    <mergeCell ref="D1:F1"/>
    <mergeCell ref="I1:J1"/>
    <mergeCell ref="M1:N1"/>
    <mergeCell ref="D4:D5"/>
  </mergeCells>
  <hyperlinks>
    <hyperlink ref="G4" r:id="rId1" display="Employee"/>
    <hyperlink ref="G5" r:id="rId2" display="Benefits"/>
    <hyperlink ref="A24:D24" location="Pg1Program200and300" display="200 Special Education"/>
    <hyperlink ref="A38:D38" location="Pg1Program200and300" display="300 Special Education Disability Title 8 PL 103-382 Add-On"/>
    <hyperlink ref="A42:D42" location="Pg1Program550" display="550 K-3 Reading"/>
    <hyperlink ref="G4:G5" location="Pg1EmployeeBenefits" display="Employee"/>
    <hyperlink ref="A49:D49" location="Pg1Line38" display="Federal and State Projects (from page 2, line 30)"/>
  </hyperlinks>
  <printOptions horizontalCentered="1"/>
  <pageMargins left="0.75" right="0.5" top="0.25" bottom="0.25" header="0" footer="0"/>
  <pageSetup horizontalDpi="300" verticalDpi="300" orientation="landscape" paperSize="5" scale="97" r:id="rId4"/>
  <headerFooter>
    <oddFooter>&amp;L&amp;"Arial,Bold"Rev. 5/14&amp;C&amp;"Arial,Bold"FY 2015&amp;R&amp;"Arial,Bold"Page  1 of 5</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50"/>
  <sheetViews>
    <sheetView showGridLines="0" zoomScale="80" zoomScaleNormal="80" workbookViewId="0" topLeftCell="A1">
      <selection activeCell="N37" sqref="N37"/>
    </sheetView>
  </sheetViews>
  <sheetFormatPr defaultColWidth="9.140625" defaultRowHeight="12.75" customHeight="1"/>
  <cols>
    <col min="1" max="1" width="3.7109375" style="47" customWidth="1"/>
    <col min="2" max="2" width="14.57421875" style="47" customWidth="1"/>
    <col min="3" max="3" width="35.140625" style="47" customWidth="1"/>
    <col min="4" max="5" width="12.28125" style="47" customWidth="1"/>
    <col min="6" max="6" width="3.7109375" style="47" customWidth="1"/>
    <col min="7" max="7" width="5.28125" style="47" customWidth="1"/>
    <col min="8" max="8" width="13.7109375" style="47" customWidth="1"/>
    <col min="9" max="9" width="6.7109375" style="47" customWidth="1"/>
    <col min="10" max="10" width="6.421875" style="47" customWidth="1"/>
    <col min="11" max="11" width="5.421875" style="47" customWidth="1"/>
    <col min="12" max="12" width="7.140625" style="47" customWidth="1"/>
    <col min="13" max="14" width="12.28125" style="47" customWidth="1"/>
    <col min="15" max="15" width="3.7109375" style="47" customWidth="1"/>
    <col min="16" max="16" width="7.7109375" style="47" customWidth="1"/>
    <col min="17" max="16384" width="9.140625" style="47" customWidth="1"/>
  </cols>
  <sheetData>
    <row r="1" spans="1:24" ht="13.5" customHeight="1">
      <c r="A1" s="116" t="s">
        <v>0</v>
      </c>
      <c r="C1" s="358" t="str">
        <f>Cover!D1</f>
        <v>Camp Verde Unified School District</v>
      </c>
      <c r="D1" s="359"/>
      <c r="E1" s="359"/>
      <c r="F1" s="359"/>
      <c r="H1" s="117" t="s">
        <v>1</v>
      </c>
      <c r="I1" s="360" t="str">
        <f>Cover!M1</f>
        <v>Yavapai</v>
      </c>
      <c r="J1" s="361"/>
      <c r="K1" s="361"/>
      <c r="M1" s="51" t="s">
        <v>103</v>
      </c>
      <c r="N1" s="286" t="str">
        <f>Cover!R1</f>
        <v>138771000</v>
      </c>
      <c r="P1" s="116"/>
      <c r="Q1" s="116"/>
      <c r="R1" s="116"/>
      <c r="S1" s="116"/>
      <c r="T1" s="116"/>
      <c r="U1" s="116"/>
      <c r="V1" s="116"/>
      <c r="W1" s="116"/>
      <c r="X1" s="116"/>
    </row>
    <row r="2" spans="1:24" ht="7.5" customHeight="1">
      <c r="A2" s="118"/>
      <c r="B2" s="39"/>
      <c r="C2" s="39"/>
      <c r="D2" s="63"/>
      <c r="E2" s="63"/>
      <c r="H2" s="272"/>
      <c r="I2" s="270"/>
      <c r="J2" s="270"/>
      <c r="K2" s="270"/>
      <c r="L2" s="270"/>
      <c r="M2" s="270"/>
      <c r="N2" s="270"/>
      <c r="O2" s="38"/>
      <c r="P2" s="116"/>
      <c r="Q2" s="116"/>
      <c r="R2" s="116"/>
      <c r="S2" s="116"/>
      <c r="T2" s="116"/>
      <c r="U2" s="116"/>
      <c r="V2" s="116"/>
      <c r="W2" s="116"/>
      <c r="X2" s="116"/>
    </row>
    <row r="3" spans="1:24" ht="12" customHeight="1">
      <c r="A3" s="344" t="s">
        <v>85</v>
      </c>
      <c r="B3" s="344"/>
      <c r="C3" s="344"/>
      <c r="D3" s="305"/>
      <c r="E3" s="305"/>
      <c r="H3" s="292" t="s">
        <v>68</v>
      </c>
      <c r="I3" s="283"/>
      <c r="J3" s="283"/>
      <c r="K3" s="283"/>
      <c r="L3" s="283"/>
      <c r="M3" s="283"/>
      <c r="N3" s="283"/>
      <c r="O3" s="38"/>
      <c r="P3" s="116"/>
      <c r="Q3" s="357"/>
      <c r="R3" s="357"/>
      <c r="S3" s="116"/>
      <c r="T3" s="116"/>
      <c r="U3" s="116"/>
      <c r="V3" s="116"/>
      <c r="W3" s="116"/>
      <c r="X3" s="116"/>
    </row>
    <row r="4" spans="1:24" ht="40.5" customHeight="1">
      <c r="A4" t="s">
        <v>33</v>
      </c>
      <c r="B4"/>
      <c r="C4"/>
      <c r="D4" s="149" t="s">
        <v>303</v>
      </c>
      <c r="E4" s="149" t="s">
        <v>291</v>
      </c>
      <c r="H4" s="39"/>
      <c r="I4" s="39"/>
      <c r="J4" s="39"/>
      <c r="K4" s="39"/>
      <c r="M4" s="149" t="s">
        <v>305</v>
      </c>
      <c r="N4" s="149" t="s">
        <v>292</v>
      </c>
      <c r="O4" s="18"/>
      <c r="P4" s="116"/>
      <c r="Q4" s="357"/>
      <c r="R4" s="357"/>
      <c r="S4" s="116"/>
      <c r="T4" s="116"/>
      <c r="U4" s="116"/>
      <c r="V4" s="116"/>
      <c r="W4" s="116"/>
      <c r="X4" s="116"/>
    </row>
    <row r="5" spans="1:24" ht="12" customHeight="1">
      <c r="A5" s="169">
        <v>1</v>
      </c>
      <c r="B5" s="171" t="s">
        <v>203</v>
      </c>
      <c r="C5" s="170"/>
      <c r="D5" s="161">
        <f>'[1]Page 2'!$E$5</f>
        <v>0</v>
      </c>
      <c r="E5" s="161"/>
      <c r="F5" s="120">
        <v>1</v>
      </c>
      <c r="G5" s="173">
        <v>1</v>
      </c>
      <c r="H5" s="170" t="s">
        <v>35</v>
      </c>
      <c r="I5" s="170"/>
      <c r="J5" s="170"/>
      <c r="K5" s="170"/>
      <c r="M5" s="162">
        <f>'[1]Page 2'!$N$5</f>
        <v>0</v>
      </c>
      <c r="N5" s="162"/>
      <c r="O5" s="35">
        <v>1</v>
      </c>
      <c r="P5" s="116"/>
      <c r="Q5" s="116"/>
      <c r="R5" s="304"/>
      <c r="S5" s="304"/>
      <c r="T5" s="116"/>
      <c r="U5" s="116"/>
      <c r="V5" s="116"/>
      <c r="W5" s="116"/>
      <c r="X5" s="116"/>
    </row>
    <row r="6" spans="1:24" ht="12" customHeight="1">
      <c r="A6" s="169">
        <v>2</v>
      </c>
      <c r="B6" s="171" t="s">
        <v>204</v>
      </c>
      <c r="C6" s="170"/>
      <c r="D6" s="161">
        <f>'[1]Page 2'!$E$6</f>
        <v>0</v>
      </c>
      <c r="E6" s="161"/>
      <c r="F6" s="120">
        <v>2</v>
      </c>
      <c r="G6" s="173">
        <v>2</v>
      </c>
      <c r="H6" s="170" t="s">
        <v>200</v>
      </c>
      <c r="I6" s="170"/>
      <c r="J6" s="170"/>
      <c r="K6" s="170"/>
      <c r="M6" s="162">
        <f>'[1]Page 2'!$N$6</f>
        <v>0</v>
      </c>
      <c r="N6" s="162"/>
      <c r="O6" s="35">
        <v>2</v>
      </c>
      <c r="P6" s="116"/>
      <c r="Q6" s="116"/>
      <c r="R6" s="304"/>
      <c r="S6" s="304"/>
      <c r="T6" s="116"/>
      <c r="U6" s="116"/>
      <c r="V6" s="116"/>
      <c r="W6" s="116"/>
      <c r="X6" s="116"/>
    </row>
    <row r="7" spans="1:24" ht="12" customHeight="1">
      <c r="A7" s="169">
        <v>3</v>
      </c>
      <c r="B7" s="171" t="s">
        <v>205</v>
      </c>
      <c r="C7" s="170"/>
      <c r="D7" s="161">
        <f>'[1]Page 2'!$E$7</f>
        <v>0</v>
      </c>
      <c r="E7" s="161"/>
      <c r="F7" s="120">
        <v>3</v>
      </c>
      <c r="G7" s="173">
        <v>3</v>
      </c>
      <c r="H7" s="171" t="s">
        <v>36</v>
      </c>
      <c r="I7" s="170"/>
      <c r="J7" s="170"/>
      <c r="K7" s="170"/>
      <c r="M7" s="161">
        <f>'[1]Page 2'!$N$7</f>
        <v>0</v>
      </c>
      <c r="N7" s="161"/>
      <c r="O7" s="35">
        <v>3</v>
      </c>
      <c r="P7" s="116"/>
      <c r="Q7" s="116"/>
      <c r="R7" s="304"/>
      <c r="S7" s="304"/>
      <c r="T7" s="116"/>
      <c r="U7" s="116"/>
      <c r="V7" s="116"/>
      <c r="W7" s="116"/>
      <c r="X7" s="116"/>
    </row>
    <row r="8" spans="1:24" ht="12" customHeight="1">
      <c r="A8" s="169">
        <v>4</v>
      </c>
      <c r="B8" s="171" t="s">
        <v>206</v>
      </c>
      <c r="C8" s="170"/>
      <c r="D8" s="161">
        <f>'[1]Page 2'!$E$8</f>
        <v>0</v>
      </c>
      <c r="E8" s="161"/>
      <c r="F8" s="120">
        <v>4</v>
      </c>
      <c r="G8" s="173">
        <v>4</v>
      </c>
      <c r="H8" s="170" t="s">
        <v>37</v>
      </c>
      <c r="I8" s="170"/>
      <c r="J8" s="170"/>
      <c r="K8" s="170"/>
      <c r="M8" s="161">
        <f>'[1]Page 2'!$N$8</f>
        <v>0</v>
      </c>
      <c r="N8" s="161"/>
      <c r="O8" s="35">
        <v>4</v>
      </c>
      <c r="P8" s="116"/>
      <c r="Q8" s="116"/>
      <c r="R8" s="304"/>
      <c r="S8" s="304"/>
      <c r="T8" s="116"/>
      <c r="U8" s="116"/>
      <c r="V8" s="116"/>
      <c r="W8" s="116"/>
      <c r="X8" s="116"/>
    </row>
    <row r="9" spans="1:24" ht="12" customHeight="1">
      <c r="A9" s="169">
        <v>5</v>
      </c>
      <c r="B9" s="171" t="s">
        <v>207</v>
      </c>
      <c r="C9" s="170"/>
      <c r="D9" s="161">
        <f>'[1]Page 2'!$E$9</f>
        <v>0</v>
      </c>
      <c r="E9" s="161"/>
      <c r="F9" s="120">
        <v>5</v>
      </c>
      <c r="G9" s="173">
        <v>5</v>
      </c>
      <c r="H9" s="170" t="s">
        <v>38</v>
      </c>
      <c r="I9" s="170"/>
      <c r="J9" s="170"/>
      <c r="K9" s="170"/>
      <c r="M9" s="161">
        <f>'[1]Page 2'!$N$9</f>
        <v>0</v>
      </c>
      <c r="N9" s="161"/>
      <c r="O9" s="35">
        <v>5</v>
      </c>
      <c r="P9" s="116"/>
      <c r="Q9" s="116"/>
      <c r="R9" s="304"/>
      <c r="S9" s="304"/>
      <c r="T9" s="116"/>
      <c r="U9" s="116"/>
      <c r="V9" s="116"/>
      <c r="W9" s="116"/>
      <c r="X9" s="116"/>
    </row>
    <row r="10" spans="1:24" ht="12" customHeight="1">
      <c r="A10" s="169">
        <v>6</v>
      </c>
      <c r="B10" s="171" t="s">
        <v>208</v>
      </c>
      <c r="C10" s="170"/>
      <c r="D10" s="161">
        <f>'[1]Page 2'!$E$10</f>
        <v>0</v>
      </c>
      <c r="E10" s="161"/>
      <c r="F10" s="120">
        <v>6</v>
      </c>
      <c r="G10" s="173">
        <v>6</v>
      </c>
      <c r="H10" s="170" t="s">
        <v>39</v>
      </c>
      <c r="I10" s="170"/>
      <c r="J10" s="170"/>
      <c r="K10" s="170"/>
      <c r="M10" s="161">
        <f>'[1]Page 2'!$N$10</f>
        <v>0</v>
      </c>
      <c r="N10" s="161"/>
      <c r="O10" s="35">
        <v>6</v>
      </c>
      <c r="P10" s="116"/>
      <c r="Q10" s="116"/>
      <c r="R10" s="304"/>
      <c r="S10" s="304"/>
      <c r="T10" s="116"/>
      <c r="U10" s="116"/>
      <c r="V10" s="116"/>
      <c r="W10" s="116"/>
      <c r="X10" s="116"/>
    </row>
    <row r="11" spans="1:24" ht="12" customHeight="1">
      <c r="A11" s="169">
        <v>7</v>
      </c>
      <c r="B11" s="171" t="s">
        <v>209</v>
      </c>
      <c r="C11" s="170"/>
      <c r="D11" s="161">
        <f>'[1]Page 2'!$E$11</f>
        <v>0</v>
      </c>
      <c r="E11" s="161"/>
      <c r="F11" s="120">
        <v>7</v>
      </c>
      <c r="G11" s="173">
        <v>7</v>
      </c>
      <c r="H11" s="171" t="s">
        <v>216</v>
      </c>
      <c r="I11" s="170"/>
      <c r="J11" s="170"/>
      <c r="K11" s="170"/>
      <c r="M11" s="161">
        <f>'[1]Page 2'!$N$11</f>
        <v>22075</v>
      </c>
      <c r="N11" s="161">
        <v>22100</v>
      </c>
      <c r="O11" s="35">
        <v>7</v>
      </c>
      <c r="P11" s="116"/>
      <c r="Q11" s="116"/>
      <c r="R11" s="304"/>
      <c r="S11" s="304"/>
      <c r="T11" s="116"/>
      <c r="U11" s="116"/>
      <c r="V11" s="116"/>
      <c r="W11" s="116"/>
      <c r="X11" s="116"/>
    </row>
    <row r="12" spans="1:24" ht="12" customHeight="1">
      <c r="A12" s="169">
        <v>8</v>
      </c>
      <c r="B12" s="170" t="s">
        <v>58</v>
      </c>
      <c r="C12" s="170"/>
      <c r="D12" s="161">
        <f>'[1]Page 2'!$E$12</f>
        <v>6335</v>
      </c>
      <c r="E12" s="161">
        <v>6723</v>
      </c>
      <c r="F12" s="120">
        <v>8</v>
      </c>
      <c r="G12" s="173">
        <v>8</v>
      </c>
      <c r="H12" s="170" t="s">
        <v>40</v>
      </c>
      <c r="I12" s="170"/>
      <c r="J12" s="170"/>
      <c r="K12" s="170"/>
      <c r="M12" s="161">
        <f>'[1]Page 2'!$N$12</f>
        <v>0</v>
      </c>
      <c r="N12" s="161"/>
      <c r="O12" s="35">
        <v>8</v>
      </c>
      <c r="P12" s="116"/>
      <c r="Q12" s="116"/>
      <c r="R12" s="304"/>
      <c r="S12" s="304"/>
      <c r="T12" s="116"/>
      <c r="U12" s="116"/>
      <c r="V12" s="116"/>
      <c r="W12" s="116"/>
      <c r="X12" s="116"/>
    </row>
    <row r="13" spans="1:24" ht="12" customHeight="1">
      <c r="A13" s="169">
        <v>9</v>
      </c>
      <c r="B13" s="170" t="s">
        <v>59</v>
      </c>
      <c r="C13" s="170"/>
      <c r="D13" s="161">
        <f>'[1]Page 2'!$E$13</f>
        <v>0</v>
      </c>
      <c r="E13" s="161"/>
      <c r="F13" s="120">
        <v>9</v>
      </c>
      <c r="G13" s="173">
        <v>9</v>
      </c>
      <c r="H13" s="171" t="s">
        <v>217</v>
      </c>
      <c r="I13" s="170"/>
      <c r="J13" s="170"/>
      <c r="K13" s="170"/>
      <c r="M13" s="161">
        <f>'[1]Page 2'!$N$13</f>
        <v>0</v>
      </c>
      <c r="N13" s="161"/>
      <c r="O13" s="35">
        <v>9</v>
      </c>
      <c r="P13" s="116"/>
      <c r="Q13" s="116"/>
      <c r="R13" s="304"/>
      <c r="S13" s="304"/>
      <c r="T13" s="116"/>
      <c r="U13" s="116"/>
      <c r="V13" s="116"/>
      <c r="W13" s="116"/>
      <c r="X13" s="116"/>
    </row>
    <row r="14" spans="1:24" ht="12" customHeight="1">
      <c r="A14" s="169">
        <v>10</v>
      </c>
      <c r="B14" s="170" t="s">
        <v>146</v>
      </c>
      <c r="C14" s="170"/>
      <c r="D14" s="161">
        <f>'[1]Page 2'!$E$14</f>
        <v>0</v>
      </c>
      <c r="E14" s="161"/>
      <c r="F14" s="120">
        <v>10</v>
      </c>
      <c r="G14" s="173">
        <v>10</v>
      </c>
      <c r="H14" s="170" t="s">
        <v>41</v>
      </c>
      <c r="I14" s="170"/>
      <c r="J14" s="170"/>
      <c r="K14" s="170"/>
      <c r="M14" s="161">
        <f>'[1]Page 2'!$N$14</f>
        <v>0</v>
      </c>
      <c r="N14" s="161"/>
      <c r="O14" s="35">
        <v>10</v>
      </c>
      <c r="P14" s="116"/>
      <c r="Q14" s="116"/>
      <c r="R14" s="304"/>
      <c r="S14" s="304"/>
      <c r="T14" s="116"/>
      <c r="U14" s="116"/>
      <c r="V14" s="116"/>
      <c r="W14" s="116"/>
      <c r="X14" s="116"/>
    </row>
    <row r="15" spans="1:24" ht="12" customHeight="1">
      <c r="A15" s="169">
        <v>11</v>
      </c>
      <c r="B15" s="171" t="s">
        <v>210</v>
      </c>
      <c r="C15" s="170"/>
      <c r="D15" s="161">
        <f>'[1]Page 2'!$E$15</f>
        <v>0</v>
      </c>
      <c r="E15" s="161"/>
      <c r="F15" s="120">
        <v>11</v>
      </c>
      <c r="G15" s="173">
        <v>11</v>
      </c>
      <c r="H15" s="170" t="s">
        <v>310</v>
      </c>
      <c r="I15" s="170"/>
      <c r="J15" s="170"/>
      <c r="K15" s="170"/>
      <c r="M15" s="135"/>
      <c r="N15" s="161"/>
      <c r="O15" s="35">
        <v>11</v>
      </c>
      <c r="P15" s="116"/>
      <c r="Q15" s="116"/>
      <c r="R15" s="304"/>
      <c r="S15" s="304"/>
      <c r="T15" s="116"/>
      <c r="U15" s="116"/>
      <c r="V15" s="116"/>
      <c r="W15" s="116"/>
      <c r="X15" s="116"/>
    </row>
    <row r="16" spans="1:24" ht="12" customHeight="1">
      <c r="A16" s="169">
        <v>12</v>
      </c>
      <c r="B16" s="171" t="s">
        <v>211</v>
      </c>
      <c r="C16" s="170"/>
      <c r="D16" s="161">
        <f>'[1]Page 2'!$E$16</f>
        <v>0</v>
      </c>
      <c r="E16" s="161"/>
      <c r="F16" s="120">
        <v>12</v>
      </c>
      <c r="G16" s="173">
        <v>12</v>
      </c>
      <c r="H16" s="170" t="s">
        <v>42</v>
      </c>
      <c r="I16" s="170"/>
      <c r="J16" s="170"/>
      <c r="K16" s="170"/>
      <c r="M16" s="161">
        <f>'[1]Page 2'!$N$15</f>
        <v>0</v>
      </c>
      <c r="N16" s="161"/>
      <c r="O16" s="35">
        <v>12</v>
      </c>
      <c r="P16" s="116"/>
      <c r="Q16" s="116"/>
      <c r="R16" s="304"/>
      <c r="S16" s="304"/>
      <c r="T16" s="116"/>
      <c r="U16" s="116"/>
      <c r="V16" s="116"/>
      <c r="W16" s="116"/>
      <c r="X16" s="116"/>
    </row>
    <row r="17" spans="1:24" ht="12" customHeight="1">
      <c r="A17" s="169">
        <v>13</v>
      </c>
      <c r="B17" s="171" t="s">
        <v>212</v>
      </c>
      <c r="C17" s="170"/>
      <c r="D17" s="161">
        <f>'[1]Page 2'!$E$17</f>
        <v>0</v>
      </c>
      <c r="E17" s="161"/>
      <c r="F17" s="120">
        <v>13</v>
      </c>
      <c r="G17" s="173">
        <v>13</v>
      </c>
      <c r="H17" s="170" t="s">
        <v>43</v>
      </c>
      <c r="I17" s="170"/>
      <c r="J17" s="170"/>
      <c r="K17" s="170"/>
      <c r="M17" s="161">
        <f>'[1]Page 2'!$N$16</f>
        <v>0</v>
      </c>
      <c r="N17" s="161"/>
      <c r="O17" s="35">
        <v>13</v>
      </c>
      <c r="P17" s="116"/>
      <c r="Q17" s="116"/>
      <c r="R17" s="304"/>
      <c r="S17" s="304"/>
      <c r="T17" s="116"/>
      <c r="U17" s="116"/>
      <c r="V17" s="116"/>
      <c r="W17" s="116"/>
      <c r="X17" s="116"/>
    </row>
    <row r="18" spans="1:24" ht="12" customHeight="1">
      <c r="A18" s="169">
        <v>14</v>
      </c>
      <c r="B18" s="170" t="s">
        <v>78</v>
      </c>
      <c r="C18" s="170"/>
      <c r="D18" s="161">
        <f>'[1]Page 2'!$E$18</f>
        <v>0</v>
      </c>
      <c r="E18" s="161"/>
      <c r="F18" s="120">
        <v>14</v>
      </c>
      <c r="G18" s="173">
        <v>14</v>
      </c>
      <c r="H18" s="170" t="s">
        <v>44</v>
      </c>
      <c r="I18" s="170"/>
      <c r="J18" s="170"/>
      <c r="K18" s="170"/>
      <c r="M18" s="161">
        <f>'[1]Page 2'!$N$17</f>
        <v>0</v>
      </c>
      <c r="N18" s="161"/>
      <c r="O18" s="35">
        <v>14</v>
      </c>
      <c r="P18" s="116"/>
      <c r="Q18" s="116"/>
      <c r="R18" s="304"/>
      <c r="S18" s="304"/>
      <c r="T18" s="116"/>
      <c r="U18" s="116"/>
      <c r="V18" s="116"/>
      <c r="W18" s="116"/>
      <c r="X18" s="116"/>
    </row>
    <row r="19" spans="1:24" ht="12" customHeight="1" thickBot="1">
      <c r="A19" s="169">
        <v>15</v>
      </c>
      <c r="B19" s="170" t="s">
        <v>86</v>
      </c>
      <c r="C19" s="170"/>
      <c r="D19" s="162">
        <f>'[1]Page 2'!$E$19</f>
        <v>0</v>
      </c>
      <c r="E19" s="162"/>
      <c r="F19" s="120">
        <v>15</v>
      </c>
      <c r="G19" s="173">
        <v>15</v>
      </c>
      <c r="H19" s="170" t="s">
        <v>159</v>
      </c>
      <c r="I19" s="170"/>
      <c r="J19" s="170"/>
      <c r="K19" s="170"/>
      <c r="M19" s="167">
        <f>SUM(M5:M18)</f>
        <v>22075</v>
      </c>
      <c r="N19" s="168">
        <f>SUM(N5:N18)</f>
        <v>22100</v>
      </c>
      <c r="O19" s="35">
        <v>15</v>
      </c>
      <c r="P19" s="116"/>
      <c r="Q19" s="116"/>
      <c r="R19" s="304"/>
      <c r="S19" s="304"/>
      <c r="T19" s="116"/>
      <c r="U19" s="116"/>
      <c r="V19" s="116"/>
      <c r="W19" s="116"/>
      <c r="X19" s="116"/>
    </row>
    <row r="20" spans="1:24" ht="12" customHeight="1" thickBot="1">
      <c r="A20" s="169">
        <v>16</v>
      </c>
      <c r="B20" s="170" t="s">
        <v>82</v>
      </c>
      <c r="C20" s="170"/>
      <c r="D20" s="163">
        <f>'[1]Page 2'!$E$20</f>
        <v>16899</v>
      </c>
      <c r="E20" s="163">
        <v>0</v>
      </c>
      <c r="F20" s="120">
        <v>16</v>
      </c>
      <c r="G20" s="173">
        <v>16</v>
      </c>
      <c r="H20" s="170" t="s">
        <v>45</v>
      </c>
      <c r="I20" s="170"/>
      <c r="J20" s="170"/>
      <c r="K20" s="170"/>
      <c r="M20" s="161">
        <f>'[1]Page 2'!$N$19</f>
        <v>0</v>
      </c>
      <c r="N20" s="161"/>
      <c r="O20" s="35">
        <v>16</v>
      </c>
      <c r="P20" s="116"/>
      <c r="Q20" s="116"/>
      <c r="R20" s="304"/>
      <c r="S20" s="304"/>
      <c r="T20" s="116"/>
      <c r="U20" s="116"/>
      <c r="V20" s="116"/>
      <c r="W20" s="116"/>
      <c r="X20" s="116"/>
    </row>
    <row r="21" spans="1:24" ht="12" customHeight="1" thickBot="1">
      <c r="A21" s="169">
        <v>17</v>
      </c>
      <c r="B21" s="171" t="s">
        <v>147</v>
      </c>
      <c r="C21" s="170"/>
      <c r="D21" s="165">
        <f>SUM(D5:D20)</f>
        <v>23234</v>
      </c>
      <c r="E21" s="165">
        <f>SUM(E5:E20)</f>
        <v>6723</v>
      </c>
      <c r="F21" s="120">
        <v>17</v>
      </c>
      <c r="G21" s="173">
        <v>17</v>
      </c>
      <c r="H21" s="170" t="s">
        <v>163</v>
      </c>
      <c r="I21" s="170"/>
      <c r="J21" s="170"/>
      <c r="K21" s="170"/>
      <c r="M21" s="161">
        <f>'[1]Page 2'!$N$20</f>
        <v>0</v>
      </c>
      <c r="N21" s="161"/>
      <c r="O21" s="35">
        <v>17</v>
      </c>
      <c r="P21" s="116"/>
      <c r="Q21" s="116"/>
      <c r="R21" s="304"/>
      <c r="S21" s="304"/>
      <c r="T21" s="116"/>
      <c r="U21" s="116"/>
      <c r="V21" s="116"/>
      <c r="W21" s="116"/>
      <c r="X21" s="116"/>
    </row>
    <row r="22" spans="1:24" ht="12" customHeight="1" thickTop="1">
      <c r="A22" s="172" t="s">
        <v>34</v>
      </c>
      <c r="B22" s="170"/>
      <c r="C22" s="170"/>
      <c r="D22" s="215"/>
      <c r="E22" s="216"/>
      <c r="F22" s="120"/>
      <c r="G22" s="173">
        <v>18</v>
      </c>
      <c r="H22" s="170" t="s">
        <v>164</v>
      </c>
      <c r="I22" s="170"/>
      <c r="J22" s="170"/>
      <c r="K22" s="170"/>
      <c r="M22" s="162">
        <f>'[1]Page 2'!$N$21</f>
        <v>0</v>
      </c>
      <c r="N22" s="162"/>
      <c r="O22" s="35">
        <v>18</v>
      </c>
      <c r="P22" s="116"/>
      <c r="Q22" s="116"/>
      <c r="R22" s="304"/>
      <c r="S22" s="304"/>
      <c r="T22" s="116"/>
      <c r="U22" s="116"/>
      <c r="V22" s="116"/>
      <c r="W22" s="116"/>
      <c r="X22" s="116"/>
    </row>
    <row r="23" spans="1:24" ht="12" customHeight="1">
      <c r="A23" s="169">
        <v>18</v>
      </c>
      <c r="B23" s="170" t="s">
        <v>60</v>
      </c>
      <c r="C23" s="170"/>
      <c r="D23" s="214">
        <f>'[1]Page 2'!$E$23</f>
        <v>0</v>
      </c>
      <c r="E23" s="214"/>
      <c r="F23" s="120">
        <v>18</v>
      </c>
      <c r="G23" s="173">
        <v>19</v>
      </c>
      <c r="H23" s="170" t="s">
        <v>46</v>
      </c>
      <c r="I23" s="170"/>
      <c r="J23" s="170"/>
      <c r="K23" s="170"/>
      <c r="M23" s="162">
        <f>'[1]Page 2'!$N$22</f>
        <v>0</v>
      </c>
      <c r="N23" s="162"/>
      <c r="O23" s="35">
        <v>19</v>
      </c>
      <c r="P23" s="116"/>
      <c r="Q23" s="116"/>
      <c r="R23" s="304"/>
      <c r="S23" s="304"/>
      <c r="T23" s="116"/>
      <c r="U23" s="116"/>
      <c r="V23" s="116"/>
      <c r="W23" s="116"/>
      <c r="X23" s="116"/>
    </row>
    <row r="24" spans="1:24" ht="12" customHeight="1">
      <c r="A24" s="169">
        <v>19</v>
      </c>
      <c r="B24" s="170" t="s">
        <v>79</v>
      </c>
      <c r="C24" s="170"/>
      <c r="D24" s="161">
        <f>'[1]Page 2'!$E$24</f>
        <v>0</v>
      </c>
      <c r="E24" s="161"/>
      <c r="F24" s="120">
        <v>19</v>
      </c>
      <c r="G24" s="173">
        <v>20</v>
      </c>
      <c r="H24" s="170" t="s">
        <v>201</v>
      </c>
      <c r="I24" s="170"/>
      <c r="J24" s="170"/>
      <c r="K24" s="170"/>
      <c r="M24" s="161">
        <f>'[1]Page 2'!$N$23</f>
        <v>0</v>
      </c>
      <c r="N24" s="161"/>
      <c r="O24" s="35">
        <v>20</v>
      </c>
      <c r="P24" s="116"/>
      <c r="Q24" s="116"/>
      <c r="R24" s="304"/>
      <c r="S24" s="304"/>
      <c r="T24" s="116"/>
      <c r="U24" s="116"/>
      <c r="V24" s="116"/>
      <c r="W24" s="116"/>
      <c r="X24" s="116"/>
    </row>
    <row r="25" spans="1:24" ht="12" customHeight="1">
      <c r="A25" s="169">
        <v>20</v>
      </c>
      <c r="B25" s="171" t="s">
        <v>213</v>
      </c>
      <c r="C25" s="170"/>
      <c r="D25" s="161">
        <f>'[1]Page 2'!$E$25</f>
        <v>0</v>
      </c>
      <c r="E25" s="161"/>
      <c r="F25" s="120">
        <v>20</v>
      </c>
      <c r="G25" s="173">
        <v>21</v>
      </c>
      <c r="H25" s="170" t="s">
        <v>47</v>
      </c>
      <c r="I25" s="170"/>
      <c r="J25" s="170"/>
      <c r="K25" s="170"/>
      <c r="M25" s="161">
        <f>'[1]Page 2'!$N$24</f>
        <v>0</v>
      </c>
      <c r="N25" s="161"/>
      <c r="O25" s="35">
        <v>21</v>
      </c>
      <c r="P25" s="116"/>
      <c r="Q25" s="116"/>
      <c r="R25" s="304"/>
      <c r="S25" s="304"/>
      <c r="T25" s="116"/>
      <c r="U25" s="116"/>
      <c r="V25" s="116"/>
      <c r="W25" s="116"/>
      <c r="X25" s="116"/>
    </row>
    <row r="26" spans="1:24" ht="12" customHeight="1" thickBot="1">
      <c r="A26" s="169">
        <v>21</v>
      </c>
      <c r="B26" s="170" t="s">
        <v>61</v>
      </c>
      <c r="C26" s="170"/>
      <c r="D26" s="161">
        <f>'[1]Page 2'!$E$26</f>
        <v>0</v>
      </c>
      <c r="E26" s="161"/>
      <c r="F26" s="120">
        <v>21</v>
      </c>
      <c r="G26" s="302">
        <v>22</v>
      </c>
      <c r="H26" s="170" t="s">
        <v>312</v>
      </c>
      <c r="I26" s="170"/>
      <c r="J26" s="170"/>
      <c r="K26" s="170"/>
      <c r="M26" s="166">
        <f>SUM(M20:M25)</f>
        <v>0</v>
      </c>
      <c r="N26" s="166">
        <f>SUM(N20:N25)</f>
        <v>0</v>
      </c>
      <c r="O26" s="35">
        <v>22</v>
      </c>
      <c r="P26" s="116"/>
      <c r="Q26" s="116"/>
      <c r="R26" s="304"/>
      <c r="S26" s="304"/>
      <c r="T26" s="116"/>
      <c r="U26" s="116"/>
      <c r="V26" s="116"/>
      <c r="W26" s="116"/>
      <c r="X26" s="116"/>
    </row>
    <row r="27" spans="1:24" ht="12" customHeight="1" thickBot="1">
      <c r="A27" s="169">
        <v>22</v>
      </c>
      <c r="B27" s="170" t="s">
        <v>62</v>
      </c>
      <c r="C27" s="170"/>
      <c r="D27" s="161">
        <f>'[1]Page 2'!$E$27</f>
        <v>0</v>
      </c>
      <c r="E27" s="161"/>
      <c r="F27" s="120">
        <v>22</v>
      </c>
      <c r="G27" s="312">
        <v>23</v>
      </c>
      <c r="H27" s="299" t="s">
        <v>311</v>
      </c>
      <c r="I27" s="299"/>
      <c r="J27" s="299"/>
      <c r="K27" s="170"/>
      <c r="M27" s="164">
        <f>M19+M26</f>
        <v>22075</v>
      </c>
      <c r="N27" s="164">
        <f>N19+N26</f>
        <v>22100</v>
      </c>
      <c r="O27" s="35">
        <v>23</v>
      </c>
      <c r="P27" s="116"/>
      <c r="Q27" s="116"/>
      <c r="R27" s="116"/>
      <c r="S27" s="116"/>
      <c r="T27" s="116"/>
      <c r="U27" s="116"/>
      <c r="V27" s="116"/>
      <c r="W27" s="116"/>
      <c r="X27" s="116"/>
    </row>
    <row r="28" spans="1:24" ht="12" customHeight="1" thickTop="1">
      <c r="A28" s="169">
        <v>23</v>
      </c>
      <c r="B28" s="170" t="s">
        <v>63</v>
      </c>
      <c r="C28" s="170"/>
      <c r="D28" s="161">
        <f>'[1]Page 2'!$E$28</f>
        <v>0</v>
      </c>
      <c r="E28" s="161"/>
      <c r="F28" s="120">
        <v>23</v>
      </c>
      <c r="H28" s="116" t="s">
        <v>286</v>
      </c>
      <c r="P28" s="116"/>
      <c r="Q28" s="116"/>
      <c r="R28" s="116"/>
      <c r="S28" s="116"/>
      <c r="T28" s="116"/>
      <c r="U28" s="116"/>
      <c r="V28" s="116"/>
      <c r="W28" s="116"/>
      <c r="X28" s="116"/>
    </row>
    <row r="29" spans="1:24" ht="12" customHeight="1">
      <c r="A29" s="169">
        <v>24</v>
      </c>
      <c r="B29" s="170" t="s">
        <v>171</v>
      </c>
      <c r="C29" s="170"/>
      <c r="D29" s="161">
        <f>'[1]Page 2'!$E$29</f>
        <v>0</v>
      </c>
      <c r="E29" s="161"/>
      <c r="F29" s="120">
        <v>24</v>
      </c>
      <c r="H29" s="116" t="s">
        <v>218</v>
      </c>
      <c r="P29" s="116"/>
      <c r="Q29" s="116"/>
      <c r="R29" s="116"/>
      <c r="S29" s="116"/>
      <c r="T29" s="116"/>
      <c r="U29" s="116"/>
      <c r="V29" s="116"/>
      <c r="W29" s="116"/>
      <c r="X29" s="116"/>
    </row>
    <row r="30" spans="1:24" ht="12" customHeight="1">
      <c r="A30" s="169">
        <v>25</v>
      </c>
      <c r="B30" s="170" t="s">
        <v>172</v>
      </c>
      <c r="C30" s="170"/>
      <c r="D30" s="161">
        <f>'[1]Page 2'!$E$30</f>
        <v>0</v>
      </c>
      <c r="E30" s="161"/>
      <c r="F30" s="120">
        <v>25</v>
      </c>
      <c r="G30" s="150" t="s">
        <v>253</v>
      </c>
      <c r="H30" s="116"/>
      <c r="P30" s="116"/>
      <c r="Q30" s="116"/>
      <c r="R30" s="116"/>
      <c r="S30" s="116"/>
      <c r="T30" s="116"/>
      <c r="U30" s="116"/>
      <c r="V30" s="116"/>
      <c r="W30" s="116"/>
      <c r="X30" s="116"/>
    </row>
    <row r="31" spans="1:24" ht="12" customHeight="1">
      <c r="A31" s="169">
        <v>26</v>
      </c>
      <c r="B31" s="170" t="s">
        <v>64</v>
      </c>
      <c r="C31" s="170"/>
      <c r="D31" s="161">
        <f>'[1]Page 2'!$E$31</f>
        <v>0</v>
      </c>
      <c r="E31" s="161"/>
      <c r="F31" s="120">
        <v>26</v>
      </c>
      <c r="H31" s="150"/>
      <c r="O31" s="121"/>
      <c r="P31" s="116"/>
      <c r="Q31" s="116"/>
      <c r="R31" s="116"/>
      <c r="S31" s="116"/>
      <c r="T31" s="116"/>
      <c r="U31" s="116"/>
      <c r="V31" s="116"/>
      <c r="W31" s="116"/>
      <c r="X31" s="116"/>
    </row>
    <row r="32" spans="1:24" ht="12" customHeight="1">
      <c r="A32" s="169">
        <v>27</v>
      </c>
      <c r="B32" s="170" t="s">
        <v>83</v>
      </c>
      <c r="C32" s="170"/>
      <c r="D32" s="161">
        <f>'[1]Page 2'!$E$32</f>
        <v>0</v>
      </c>
      <c r="E32" s="161"/>
      <c r="F32" s="120">
        <v>27</v>
      </c>
      <c r="O32" s="38"/>
      <c r="P32" s="116"/>
      <c r="Q32" s="116"/>
      <c r="R32" s="116"/>
      <c r="S32" s="116"/>
      <c r="T32" s="116"/>
      <c r="U32" s="116"/>
      <c r="V32" s="116"/>
      <c r="W32" s="116"/>
      <c r="X32" s="116"/>
    </row>
    <row r="33" spans="1:24" ht="12" customHeight="1" thickBot="1">
      <c r="A33" s="169">
        <v>28</v>
      </c>
      <c r="B33" s="170" t="s">
        <v>84</v>
      </c>
      <c r="C33" s="170"/>
      <c r="D33" s="161">
        <f>'[1]Page 2'!$E$33</f>
        <v>5874</v>
      </c>
      <c r="E33" s="161">
        <v>7600</v>
      </c>
      <c r="F33" s="120">
        <v>28</v>
      </c>
      <c r="H33" s="118" t="s">
        <v>69</v>
      </c>
      <c r="I33" s="39"/>
      <c r="J33" s="39"/>
      <c r="K33" s="39"/>
      <c r="L33" s="292" t="s">
        <v>71</v>
      </c>
      <c r="M33" s="283"/>
      <c r="N33" s="283"/>
      <c r="O33" s="283"/>
      <c r="P33" s="116"/>
      <c r="Q33" s="116"/>
      <c r="R33" s="116"/>
      <c r="S33" s="116"/>
      <c r="T33" s="116"/>
      <c r="U33" s="116"/>
      <c r="V33" s="116"/>
      <c r="W33" s="116"/>
      <c r="X33" s="116"/>
    </row>
    <row r="34" spans="1:24" ht="12" customHeight="1" thickBot="1">
      <c r="A34" s="169">
        <v>29</v>
      </c>
      <c r="B34" s="170" t="s">
        <v>247</v>
      </c>
      <c r="C34" s="170"/>
      <c r="D34" s="164">
        <f>SUM(D23:D33)</f>
        <v>5874</v>
      </c>
      <c r="E34" s="164">
        <f>SUM(E22:E33)</f>
        <v>7600</v>
      </c>
      <c r="F34" s="120">
        <v>29</v>
      </c>
      <c r="H34" s="118" t="s">
        <v>70</v>
      </c>
      <c r="I34" s="39"/>
      <c r="J34" s="39"/>
      <c r="K34" s="39"/>
      <c r="L34" s="39" t="s">
        <v>51</v>
      </c>
      <c r="M34" s="39"/>
      <c r="N34" s="39"/>
      <c r="P34" s="116"/>
      <c r="Q34" s="116"/>
      <c r="R34" s="116"/>
      <c r="S34" s="116"/>
      <c r="T34" s="116"/>
      <c r="U34" s="116"/>
      <c r="V34" s="116"/>
      <c r="W34" s="116"/>
      <c r="X34" s="116"/>
    </row>
    <row r="35" spans="1:24" ht="12" customHeight="1" thickBot="1" thickTop="1">
      <c r="A35" s="302">
        <v>30</v>
      </c>
      <c r="B35" s="170" t="s">
        <v>248</v>
      </c>
      <c r="C35" s="170"/>
      <c r="D35" s="165">
        <f>D21+D34</f>
        <v>29108</v>
      </c>
      <c r="E35" s="165">
        <f>E21+E34</f>
        <v>14323</v>
      </c>
      <c r="F35" s="120">
        <v>30</v>
      </c>
      <c r="M35" s="38"/>
      <c r="N35" s="39"/>
      <c r="P35" s="116"/>
      <c r="Q35" s="116"/>
      <c r="R35" s="116"/>
      <c r="S35" s="116"/>
      <c r="T35" s="116"/>
      <c r="U35" s="116"/>
      <c r="V35" s="116"/>
      <c r="W35" s="116"/>
      <c r="X35" s="116"/>
    </row>
    <row r="36" spans="1:24" ht="12" customHeight="1" thickTop="1">
      <c r="A36" s="119"/>
      <c r="F36" s="35"/>
      <c r="H36" s="47" t="s">
        <v>48</v>
      </c>
      <c r="I36" s="117" t="s">
        <v>49</v>
      </c>
      <c r="J36" s="122">
        <v>12</v>
      </c>
      <c r="K36" s="123"/>
      <c r="L36" s="60" t="s">
        <v>52</v>
      </c>
      <c r="N36" s="30">
        <v>2500</v>
      </c>
      <c r="P36" s="116"/>
      <c r="Q36" s="116"/>
      <c r="R36" s="116"/>
      <c r="S36" s="116"/>
      <c r="T36" s="116"/>
      <c r="U36" s="116"/>
      <c r="V36" s="116"/>
      <c r="W36" s="116"/>
      <c r="X36" s="116"/>
    </row>
    <row r="37" spans="2:24" ht="13.5" customHeight="1">
      <c r="B37" s="303" t="s">
        <v>72</v>
      </c>
      <c r="C37" s="292"/>
      <c r="D37" s="149" t="s">
        <v>304</v>
      </c>
      <c r="E37" s="149" t="s">
        <v>67</v>
      </c>
      <c r="F37" s="35"/>
      <c r="H37" s="47" t="s">
        <v>50</v>
      </c>
      <c r="I37" s="117" t="s">
        <v>49</v>
      </c>
      <c r="J37" s="122"/>
      <c r="K37" s="123"/>
      <c r="L37" s="150" t="s">
        <v>53</v>
      </c>
      <c r="N37" s="30">
        <v>276700</v>
      </c>
      <c r="P37" s="116"/>
      <c r="Q37" s="116"/>
      <c r="R37" s="116"/>
      <c r="S37" s="116"/>
      <c r="T37" s="116"/>
      <c r="U37" s="116"/>
      <c r="V37" s="116"/>
      <c r="W37" s="116"/>
      <c r="X37" s="116"/>
    </row>
    <row r="38" spans="1:24" ht="12.75">
      <c r="A38" s="173">
        <v>1</v>
      </c>
      <c r="B38" s="170" t="s">
        <v>190</v>
      </c>
      <c r="D38" s="29">
        <f>'[1]Page 2'!$E$38</f>
        <v>0</v>
      </c>
      <c r="E38" s="30"/>
      <c r="F38" s="35">
        <v>1</v>
      </c>
      <c r="P38" s="116"/>
      <c r="Q38" s="116"/>
      <c r="R38" s="116"/>
      <c r="S38" s="116"/>
      <c r="T38" s="116"/>
      <c r="U38" s="116"/>
      <c r="V38" s="116"/>
      <c r="W38" s="116"/>
      <c r="X38" s="116"/>
    </row>
    <row r="39" spans="1:24" ht="12" customHeight="1">
      <c r="A39" s="173">
        <v>2</v>
      </c>
      <c r="B39" s="170" t="s">
        <v>173</v>
      </c>
      <c r="D39" s="29">
        <f>'[1]Page 2'!$E$39</f>
        <v>0</v>
      </c>
      <c r="E39" s="29"/>
      <c r="F39" s="35">
        <v>2</v>
      </c>
      <c r="H39" s="293" t="s">
        <v>254</v>
      </c>
      <c r="I39" s="281"/>
      <c r="J39" s="281"/>
      <c r="K39" s="281"/>
      <c r="L39" s="281"/>
      <c r="M39" s="281"/>
      <c r="P39" s="116"/>
      <c r="Q39" s="116"/>
      <c r="R39" s="116"/>
      <c r="S39" s="116"/>
      <c r="T39" s="116"/>
      <c r="U39" s="116"/>
      <c r="V39" s="116"/>
      <c r="W39" s="116"/>
      <c r="X39" s="116"/>
    </row>
    <row r="40" spans="1:16" ht="12" customHeight="1">
      <c r="A40" s="173">
        <v>3</v>
      </c>
      <c r="B40" s="170" t="s">
        <v>174</v>
      </c>
      <c r="D40" s="29">
        <f>'[1]Page 2'!$E$40</f>
        <v>0</v>
      </c>
      <c r="E40" s="29"/>
      <c r="F40" s="35">
        <v>3</v>
      </c>
      <c r="H40" s="293" t="s">
        <v>255</v>
      </c>
      <c r="I40" s="281"/>
      <c r="J40" s="281"/>
      <c r="K40" s="281"/>
      <c r="L40" s="281"/>
      <c r="M40" s="281"/>
      <c r="P40" s="116"/>
    </row>
    <row r="41" spans="1:15" ht="12" customHeight="1">
      <c r="A41" s="173">
        <v>4</v>
      </c>
      <c r="B41" s="170" t="s">
        <v>175</v>
      </c>
      <c r="D41" s="29">
        <f>'[1]Page 2'!$E$41</f>
        <v>0</v>
      </c>
      <c r="E41" s="29"/>
      <c r="F41" s="35">
        <v>4</v>
      </c>
      <c r="H41" s="171" t="s">
        <v>251</v>
      </c>
      <c r="I41" s="148"/>
      <c r="J41" s="148"/>
      <c r="K41" s="148"/>
      <c r="L41" s="148"/>
      <c r="M41" s="148"/>
      <c r="N41" s="159"/>
      <c r="O41" s="159"/>
    </row>
    <row r="42" spans="1:14" ht="12" customHeight="1" thickBot="1">
      <c r="A42" s="173">
        <v>5</v>
      </c>
      <c r="B42" s="170" t="s">
        <v>176</v>
      </c>
      <c r="D42" s="125">
        <f>'[1]Page 2'!$E$42</f>
        <v>0</v>
      </c>
      <c r="E42" s="125"/>
      <c r="F42" s="35">
        <v>5</v>
      </c>
      <c r="H42" s="171" t="s">
        <v>252</v>
      </c>
      <c r="N42" s="160"/>
    </row>
    <row r="43" spans="1:6" ht="12" customHeight="1" thickBot="1">
      <c r="A43" s="302">
        <v>6</v>
      </c>
      <c r="B43" s="170" t="s">
        <v>177</v>
      </c>
      <c r="D43" s="165">
        <f>SUM(D38:D42)</f>
        <v>0</v>
      </c>
      <c r="E43" s="165">
        <f>SUM(E38:E42)</f>
        <v>0</v>
      </c>
      <c r="F43" s="35">
        <v>6</v>
      </c>
    </row>
    <row r="44" ht="6" customHeight="1" thickTop="1"/>
    <row r="45" spans="1:6" ht="27" customHeight="1">
      <c r="A45" s="259">
        <v>7</v>
      </c>
      <c r="B45" s="362" t="s">
        <v>250</v>
      </c>
      <c r="C45" s="363"/>
      <c r="D45" s="30">
        <f>'[1]Page 2'!$E$45</f>
        <v>0</v>
      </c>
      <c r="E45" s="160"/>
      <c r="F45" s="35">
        <v>7</v>
      </c>
    </row>
    <row r="46" ht="12" customHeight="1"/>
    <row r="50" ht="12.75" customHeight="1">
      <c r="I50" s="16"/>
    </row>
  </sheetData>
  <sheetProtection sheet="1"/>
  <mergeCells count="6">
    <mergeCell ref="Q3:Q4"/>
    <mergeCell ref="R3:R4"/>
    <mergeCell ref="C1:F1"/>
    <mergeCell ref="I1:K1"/>
    <mergeCell ref="B45:C45"/>
    <mergeCell ref="A3:C3"/>
  </mergeCells>
  <hyperlinks>
    <hyperlink ref="L33:O33" location="Pg2ExpensesByType" display="SELECTED EXPENSES BY TYPE"/>
    <hyperlink ref="H39:M40" location="Pg2StateEqualAssist" display="STATE EQUALIZATION ASSISTANCE BUDGETED"/>
    <hyperlink ref="H3:N3" location="Pg2SpecialEd" display="SPECIAL EDUCATION PROGRAMS BY TYPE"/>
    <hyperlink ref="H27:J27" location="Pg2Line22" display="TOTAL (lines 14 and 21) (1)"/>
    <hyperlink ref="B37:C37" location="CapitalAcquisitions" display="CAPITAL ACQUISITIONS"/>
    <hyperlink ref="A3:E3" location="TotalFederalAndStateProjects" display="FEDERAL AND STATE PROJECTS"/>
  </hyperlinks>
  <printOptions horizontalCentered="1"/>
  <pageMargins left="0.5" right="0.25" top="0.25" bottom="0.25" header="0" footer="0"/>
  <pageSetup horizontalDpi="600" verticalDpi="600" orientation="landscape" paperSize="5" r:id="rId2"/>
  <headerFooter>
    <oddFooter>&amp;L&amp;"Arial,Bold"Rev. 5/14&amp;C&amp;"Arial,Bold"FY 2015&amp;R&amp;"Arial,Bold"Page 2 of 5</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M43"/>
  <sheetViews>
    <sheetView showGridLines="0" zoomScale="80" zoomScaleNormal="80" zoomScalePageLayoutView="70" workbookViewId="0" topLeftCell="A1">
      <selection activeCell="F27" sqref="F27"/>
    </sheetView>
  </sheetViews>
  <sheetFormatPr defaultColWidth="9.140625" defaultRowHeight="12.75" customHeight="1"/>
  <cols>
    <col min="1" max="1" width="1.57421875" style="17" customWidth="1"/>
    <col min="2" max="2" width="1.7109375" style="17" customWidth="1"/>
    <col min="3" max="3" width="14.7109375" style="17" customWidth="1"/>
    <col min="4" max="4" width="28.7109375" style="17" customWidth="1"/>
    <col min="5" max="5" width="3.7109375" style="17" customWidth="1"/>
    <col min="6" max="9" width="13.7109375" style="17" customWidth="1"/>
    <col min="10" max="10" width="11.57421875" style="17" customWidth="1"/>
    <col min="11" max="11" width="3.7109375" style="17" customWidth="1"/>
    <col min="12" max="13" width="13.7109375" style="17" customWidth="1"/>
    <col min="14" max="14" width="3.8515625" style="17" customWidth="1"/>
    <col min="15" max="16384" width="9.140625" style="17" customWidth="1"/>
  </cols>
  <sheetData>
    <row r="1" spans="1:11" ht="12.75" customHeight="1">
      <c r="A1" s="17" t="s">
        <v>0</v>
      </c>
      <c r="D1" s="71" t="str">
        <f>Cover!D1</f>
        <v>Camp Verde Unified School District</v>
      </c>
      <c r="E1" s="72"/>
      <c r="F1" s="73" t="s">
        <v>65</v>
      </c>
      <c r="G1" s="44" t="str">
        <f>Cover!M1</f>
        <v>Yavapai</v>
      </c>
      <c r="H1" s="104"/>
      <c r="I1" s="73" t="s">
        <v>103</v>
      </c>
      <c r="J1" s="285" t="str">
        <f>Cover!R1</f>
        <v>138771000</v>
      </c>
      <c r="K1" s="104"/>
    </row>
    <row r="2" spans="1:13" ht="12.75" customHeight="1">
      <c r="A2" s="74"/>
      <c r="B2" s="74"/>
      <c r="C2" s="74"/>
      <c r="D2" s="74"/>
      <c r="E2" s="74"/>
      <c r="F2" s="74"/>
      <c r="G2" s="74"/>
      <c r="H2" s="74"/>
      <c r="I2" s="74"/>
      <c r="J2" s="14"/>
      <c r="K2" s="14"/>
      <c r="L2" s="14"/>
      <c r="M2" s="14"/>
    </row>
    <row r="3" spans="1:13" ht="12.75" customHeight="1">
      <c r="A3" s="74"/>
      <c r="B3" s="74"/>
      <c r="C3" s="74"/>
      <c r="D3" s="74"/>
      <c r="E3" s="74"/>
      <c r="F3" s="74"/>
      <c r="G3" s="74"/>
      <c r="H3" s="74"/>
      <c r="I3" s="74"/>
      <c r="J3" s="14"/>
      <c r="K3" s="14"/>
      <c r="L3" s="14"/>
      <c r="M3" s="14"/>
    </row>
    <row r="4" spans="1:13" ht="12.75" customHeight="1">
      <c r="A4" s="105"/>
      <c r="B4" s="106"/>
      <c r="C4" s="106"/>
      <c r="D4" s="366"/>
      <c r="E4" s="79"/>
      <c r="F4" s="107"/>
      <c r="G4" s="100" t="s">
        <v>108</v>
      </c>
      <c r="H4" s="364" t="s">
        <v>73</v>
      </c>
      <c r="I4" s="365"/>
      <c r="J4" s="81" t="s">
        <v>75</v>
      </c>
      <c r="K4" s="14"/>
      <c r="L4" s="14"/>
      <c r="M4" s="14"/>
    </row>
    <row r="5" spans="1:10" ht="12.75" customHeight="1">
      <c r="A5" s="4" t="s">
        <v>106</v>
      </c>
      <c r="B5" s="14"/>
      <c r="C5" s="14"/>
      <c r="D5" s="356"/>
      <c r="E5" s="84"/>
      <c r="F5" s="87" t="s">
        <v>17</v>
      </c>
      <c r="G5" s="101" t="s">
        <v>18</v>
      </c>
      <c r="H5" s="308" t="s">
        <v>304</v>
      </c>
      <c r="I5" s="87" t="s">
        <v>67</v>
      </c>
      <c r="J5" s="87" t="s">
        <v>76</v>
      </c>
    </row>
    <row r="6" spans="1:10" ht="12" customHeight="1">
      <c r="A6" s="97"/>
      <c r="B6" s="34"/>
      <c r="C6" s="34"/>
      <c r="D6" s="34"/>
      <c r="E6" s="102"/>
      <c r="F6" s="90">
        <v>6100</v>
      </c>
      <c r="G6" s="103">
        <v>6200</v>
      </c>
      <c r="H6" s="87">
        <v>2014</v>
      </c>
      <c r="I6" s="87">
        <v>2015</v>
      </c>
      <c r="J6" s="87" t="s">
        <v>77</v>
      </c>
    </row>
    <row r="7" spans="1:12" ht="12.75" customHeight="1">
      <c r="A7" s="294" t="s">
        <v>105</v>
      </c>
      <c r="B7" s="280"/>
      <c r="C7" s="280"/>
      <c r="D7" s="280"/>
      <c r="E7" s="14"/>
      <c r="F7" s="136"/>
      <c r="G7" s="138"/>
      <c r="H7" s="80"/>
      <c r="I7" s="1"/>
      <c r="J7" s="80"/>
      <c r="K7" s="21"/>
      <c r="L7" s="108"/>
    </row>
    <row r="8" spans="1:12" ht="12.75" customHeight="1">
      <c r="A8" s="91"/>
      <c r="B8" s="14" t="s">
        <v>23</v>
      </c>
      <c r="C8" s="14"/>
      <c r="D8" s="14"/>
      <c r="E8" s="3"/>
      <c r="F8" s="202"/>
      <c r="G8" s="192"/>
      <c r="H8" s="195"/>
      <c r="I8" s="199"/>
      <c r="J8" s="193"/>
      <c r="K8" s="21"/>
      <c r="L8" s="108"/>
    </row>
    <row r="9" spans="1:12" ht="12.75" customHeight="1">
      <c r="A9" s="91"/>
      <c r="B9" s="14"/>
      <c r="C9" s="14" t="s">
        <v>24</v>
      </c>
      <c r="D9" s="276"/>
      <c r="E9" s="3">
        <v>1</v>
      </c>
      <c r="F9" s="109">
        <v>2114</v>
      </c>
      <c r="G9" s="189">
        <v>500</v>
      </c>
      <c r="H9" s="114">
        <f>'[1]Page 3'!$I$9</f>
        <v>2614</v>
      </c>
      <c r="I9" s="200">
        <f>SUM(F7:G9)</f>
        <v>2614</v>
      </c>
      <c r="J9" s="188">
        <f>IF(H9=0," ",(I9-H9)/H9)</f>
        <v>0</v>
      </c>
      <c r="K9" s="110" t="s">
        <v>55</v>
      </c>
      <c r="L9" s="108"/>
    </row>
    <row r="10" spans="1:12" ht="12.75" customHeight="1">
      <c r="A10" s="91"/>
      <c r="B10" s="14"/>
      <c r="C10" s="14" t="s">
        <v>109</v>
      </c>
      <c r="D10" s="14"/>
      <c r="E10" s="3">
        <v>2</v>
      </c>
      <c r="F10" s="109"/>
      <c r="G10" s="109"/>
      <c r="H10" s="36">
        <f>'[1]Page 3'!$I$10</f>
        <v>0</v>
      </c>
      <c r="I10" s="10">
        <f>SUM(F10:G10)</f>
        <v>0</v>
      </c>
      <c r="J10" s="12" t="str">
        <f>IF(H10=0," ",(I10-H10)/H10)</f>
        <v> </v>
      </c>
      <c r="K10" s="110" t="s">
        <v>56</v>
      </c>
      <c r="L10" s="108"/>
    </row>
    <row r="11" spans="1:12" ht="12.75" customHeight="1">
      <c r="A11" s="91"/>
      <c r="B11" s="14"/>
      <c r="C11" s="14" t="s">
        <v>178</v>
      </c>
      <c r="D11" s="14"/>
      <c r="E11" s="3">
        <v>3</v>
      </c>
      <c r="F11" s="109"/>
      <c r="G11" s="109"/>
      <c r="H11" s="36">
        <f>'[1]Page 3'!$I$11</f>
        <v>0</v>
      </c>
      <c r="I11" s="10">
        <f>SUM(F11:G11)</f>
        <v>0</v>
      </c>
      <c r="J11" s="12" t="str">
        <f>IF(H11=0," ",(I11-H11)/H11)</f>
        <v> </v>
      </c>
      <c r="K11" s="110" t="s">
        <v>119</v>
      </c>
      <c r="L11" s="108"/>
    </row>
    <row r="12" spans="1:11" ht="12.75" customHeight="1">
      <c r="A12" s="97"/>
      <c r="B12" s="34" t="s">
        <v>110</v>
      </c>
      <c r="C12" s="34"/>
      <c r="D12" s="34"/>
      <c r="E12" s="5">
        <v>4</v>
      </c>
      <c r="F12" s="111">
        <f>SUM(F7:F11)</f>
        <v>2114</v>
      </c>
      <c r="G12" s="111">
        <f>SUM(G7:G11)</f>
        <v>500</v>
      </c>
      <c r="H12" s="197">
        <f>SUM(H8:H11)</f>
        <v>2614</v>
      </c>
      <c r="I12" s="197">
        <f>SUM(I8:I11)</f>
        <v>2614</v>
      </c>
      <c r="J12" s="184">
        <f>IF(H12=0," ",(I12-H12)/H12)</f>
        <v>0</v>
      </c>
      <c r="K12" s="112" t="s">
        <v>120</v>
      </c>
    </row>
    <row r="13" spans="1:12" ht="12.75" customHeight="1">
      <c r="A13" s="91"/>
      <c r="B13" s="14" t="s">
        <v>30</v>
      </c>
      <c r="C13" s="14"/>
      <c r="D13" s="14"/>
      <c r="E13" s="3"/>
      <c r="F13" s="194"/>
      <c r="G13" s="201"/>
      <c r="H13" s="80"/>
      <c r="I13" s="1"/>
      <c r="J13" s="80"/>
      <c r="K13" s="110"/>
      <c r="L13" s="108"/>
    </row>
    <row r="14" spans="1:12" ht="12.75" customHeight="1">
      <c r="A14" s="91"/>
      <c r="B14" s="14"/>
      <c r="C14" s="14" t="s">
        <v>24</v>
      </c>
      <c r="D14" s="14"/>
      <c r="E14" s="3">
        <v>5</v>
      </c>
      <c r="F14" s="114"/>
      <c r="G14" s="196"/>
      <c r="H14" s="114">
        <f>'[1]Page 3'!$I$14</f>
        <v>0</v>
      </c>
      <c r="I14" s="200">
        <f>SUM(F13:G14)</f>
        <v>0</v>
      </c>
      <c r="J14" s="188" t="str">
        <f>IF(H14=0," ",(I14-H14)/H14)</f>
        <v> </v>
      </c>
      <c r="K14" s="110" t="s">
        <v>121</v>
      </c>
      <c r="L14" s="108"/>
    </row>
    <row r="15" spans="1:12" ht="12.75" customHeight="1">
      <c r="A15" s="91"/>
      <c r="B15" s="14"/>
      <c r="C15" s="14" t="s">
        <v>109</v>
      </c>
      <c r="D15" s="14"/>
      <c r="E15" s="3">
        <v>6</v>
      </c>
      <c r="F15" s="8"/>
      <c r="G15" s="8"/>
      <c r="H15" s="36">
        <f>'[1]Page 3'!$I$15</f>
        <v>0</v>
      </c>
      <c r="I15" s="10">
        <f>SUM(F15:G15)</f>
        <v>0</v>
      </c>
      <c r="J15" s="12" t="str">
        <f>IF(H15=0," ",(I15-H15)/H15)</f>
        <v> </v>
      </c>
      <c r="K15" s="110" t="s">
        <v>122</v>
      </c>
      <c r="L15" s="108"/>
    </row>
    <row r="16" spans="1:12" ht="12.75" customHeight="1">
      <c r="A16" s="91"/>
      <c r="B16" s="14"/>
      <c r="C16" s="14" t="s">
        <v>178</v>
      </c>
      <c r="D16" s="14"/>
      <c r="E16" s="3">
        <v>7</v>
      </c>
      <c r="F16" s="8"/>
      <c r="G16" s="8"/>
      <c r="H16" s="8">
        <f>'[1]Page 3'!$I$16</f>
        <v>0</v>
      </c>
      <c r="I16" s="9">
        <f>SUM(F16:G16)</f>
        <v>0</v>
      </c>
      <c r="J16" s="12" t="str">
        <f>IF(H16=0," ",(I16-H16)/H16)</f>
        <v> </v>
      </c>
      <c r="K16" s="110" t="s">
        <v>123</v>
      </c>
      <c r="L16" s="108"/>
    </row>
    <row r="17" spans="1:12" ht="12.75" customHeight="1">
      <c r="A17" s="97"/>
      <c r="B17" s="34" t="s">
        <v>111</v>
      </c>
      <c r="C17" s="34"/>
      <c r="D17" s="34"/>
      <c r="E17" s="5">
        <v>8</v>
      </c>
      <c r="F17" s="9">
        <f>SUM(F13:F16)</f>
        <v>0</v>
      </c>
      <c r="G17" s="9">
        <f>SUM(G13:G16)</f>
        <v>0</v>
      </c>
      <c r="H17" s="198">
        <f>SUM(H14:H16)</f>
        <v>0</v>
      </c>
      <c r="I17" s="198">
        <f>SUM(I14:I16)</f>
        <v>0</v>
      </c>
      <c r="J17" s="184" t="str">
        <f>IF(H17=0," ",(I17-H17)/H17)</f>
        <v> </v>
      </c>
      <c r="K17" s="110" t="s">
        <v>124</v>
      </c>
      <c r="L17" s="108"/>
    </row>
    <row r="18" spans="1:11" ht="12.75" customHeight="1">
      <c r="A18" s="91"/>
      <c r="B18" s="113" t="s">
        <v>112</v>
      </c>
      <c r="C18" s="14"/>
      <c r="D18" s="14"/>
      <c r="E18" s="3"/>
      <c r="F18" s="194"/>
      <c r="G18" s="201"/>
      <c r="H18" s="80"/>
      <c r="I18" s="1"/>
      <c r="J18" s="80"/>
      <c r="K18" s="112"/>
    </row>
    <row r="19" spans="1:12" ht="12.75" customHeight="1">
      <c r="A19" s="91"/>
      <c r="B19" s="14"/>
      <c r="C19" s="14" t="s">
        <v>24</v>
      </c>
      <c r="D19" s="14"/>
      <c r="E19" s="3">
        <v>9</v>
      </c>
      <c r="F19" s="114"/>
      <c r="G19" s="196"/>
      <c r="H19" s="114">
        <f>'[1]Page 3'!$I$19</f>
        <v>0</v>
      </c>
      <c r="I19" s="200">
        <f>SUM(F18:G19)</f>
        <v>0</v>
      </c>
      <c r="J19" s="188" t="str">
        <f>IF(H19=0," ",(I19-H19)/H19)</f>
        <v> </v>
      </c>
      <c r="K19" s="110" t="s">
        <v>125</v>
      </c>
      <c r="L19" s="108"/>
    </row>
    <row r="20" spans="1:12" ht="12.75" customHeight="1">
      <c r="A20" s="91"/>
      <c r="B20" s="14"/>
      <c r="C20" s="14" t="s">
        <v>109</v>
      </c>
      <c r="D20" s="14"/>
      <c r="E20" s="3">
        <v>10</v>
      </c>
      <c r="F20" s="8"/>
      <c r="G20" s="8"/>
      <c r="H20" s="36">
        <f>'[1]Page 3'!$I$20</f>
        <v>0</v>
      </c>
      <c r="I20" s="10">
        <f>SUM(F20:G20)</f>
        <v>0</v>
      </c>
      <c r="J20" s="12" t="str">
        <f>IF(H20=0," ",(I20-H20)/H20)</f>
        <v> </v>
      </c>
      <c r="K20" s="110" t="s">
        <v>126</v>
      </c>
      <c r="L20" s="108"/>
    </row>
    <row r="21" spans="1:12" ht="12.75" customHeight="1">
      <c r="A21" s="91"/>
      <c r="B21" s="14"/>
      <c r="C21" s="14" t="s">
        <v>178</v>
      </c>
      <c r="D21" s="14"/>
      <c r="E21" s="3">
        <v>11</v>
      </c>
      <c r="F21" s="8"/>
      <c r="G21" s="8"/>
      <c r="H21" s="8">
        <f>'[1]Page 3'!$I$21</f>
        <v>0</v>
      </c>
      <c r="I21" s="9">
        <f>SUM(F21:G21)</f>
        <v>0</v>
      </c>
      <c r="J21" s="12" t="str">
        <f>IF(H21=0," ",(I21-H21)/H21)</f>
        <v> </v>
      </c>
      <c r="K21" s="110" t="s">
        <v>127</v>
      </c>
      <c r="L21" s="108"/>
    </row>
    <row r="22" spans="1:12" ht="12.75" customHeight="1">
      <c r="A22" s="97"/>
      <c r="B22" s="34" t="s">
        <v>113</v>
      </c>
      <c r="C22" s="34"/>
      <c r="D22" s="34"/>
      <c r="E22" s="5">
        <v>12</v>
      </c>
      <c r="F22" s="9">
        <f>SUM(F18:F21)</f>
        <v>0</v>
      </c>
      <c r="G22" s="9">
        <f>SUM(G18:G21)</f>
        <v>0</v>
      </c>
      <c r="H22" s="9">
        <f>SUM(H19:H21)</f>
        <v>0</v>
      </c>
      <c r="I22" s="9">
        <f>SUM(I19:I21)</f>
        <v>0</v>
      </c>
      <c r="J22" s="12" t="str">
        <f>IF(H22=0," ",(I22-H22)/H22)</f>
        <v> </v>
      </c>
      <c r="K22" s="110" t="s">
        <v>128</v>
      </c>
      <c r="L22" s="108"/>
    </row>
    <row r="23" spans="1:12" ht="12.75" customHeight="1">
      <c r="A23" s="97" t="s">
        <v>114</v>
      </c>
      <c r="B23" s="34"/>
      <c r="C23" s="34"/>
      <c r="D23" s="34"/>
      <c r="E23" s="5">
        <v>13</v>
      </c>
      <c r="F23" s="9">
        <f>F12+F17+F22</f>
        <v>2114</v>
      </c>
      <c r="G23" s="9">
        <f>G12+G17+G22</f>
        <v>500</v>
      </c>
      <c r="H23" s="9">
        <f>H12+H17+H22</f>
        <v>2614</v>
      </c>
      <c r="I23" s="9">
        <f>I12+I17+I22</f>
        <v>2614</v>
      </c>
      <c r="J23" s="12">
        <f>IF(H23=0," ",(I23-H23)/H23)</f>
        <v>0</v>
      </c>
      <c r="K23" s="110" t="s">
        <v>129</v>
      </c>
      <c r="L23" s="108"/>
    </row>
    <row r="24" spans="1:12" ht="12" customHeight="1">
      <c r="A24" s="294" t="s">
        <v>107</v>
      </c>
      <c r="B24" s="280"/>
      <c r="C24" s="280"/>
      <c r="D24" s="280"/>
      <c r="E24" s="14"/>
      <c r="F24" s="195"/>
      <c r="G24" s="199"/>
      <c r="H24" s="80"/>
      <c r="I24" s="1"/>
      <c r="J24" s="80"/>
      <c r="K24" s="110"/>
      <c r="L24" s="108"/>
    </row>
    <row r="25" spans="1:12" ht="12" customHeight="1">
      <c r="A25" s="91"/>
      <c r="B25" s="14" t="s">
        <v>23</v>
      </c>
      <c r="C25" s="14"/>
      <c r="D25" s="14"/>
      <c r="E25" s="3"/>
      <c r="F25" s="195"/>
      <c r="G25" s="199"/>
      <c r="H25" s="195"/>
      <c r="I25" s="199"/>
      <c r="J25" s="193"/>
      <c r="K25" s="110"/>
      <c r="L25" s="108"/>
    </row>
    <row r="26" spans="1:12" ht="12.75" customHeight="1">
      <c r="A26" s="91"/>
      <c r="B26" s="14"/>
      <c r="C26" s="14" t="s">
        <v>24</v>
      </c>
      <c r="D26" s="14"/>
      <c r="E26" s="3">
        <v>14</v>
      </c>
      <c r="F26" s="114">
        <v>6231</v>
      </c>
      <c r="G26" s="196"/>
      <c r="H26" s="114">
        <f>'[1]Page 3'!$I$26</f>
        <v>6231</v>
      </c>
      <c r="I26" s="200">
        <f>SUM(F24:G26)</f>
        <v>6231</v>
      </c>
      <c r="J26" s="12">
        <f>IF(H26=0," ",(I26-H26)/H26)</f>
        <v>0</v>
      </c>
      <c r="K26" s="110" t="s">
        <v>130</v>
      </c>
      <c r="L26" s="108"/>
    </row>
    <row r="27" spans="1:12" ht="12" customHeight="1">
      <c r="A27" s="91"/>
      <c r="B27" s="14"/>
      <c r="C27" s="14" t="s">
        <v>109</v>
      </c>
      <c r="D27" s="14"/>
      <c r="E27" s="3">
        <v>15</v>
      </c>
      <c r="F27" s="114"/>
      <c r="G27" s="114"/>
      <c r="H27" s="36">
        <f>'[1]Page 3'!$I$27</f>
        <v>0</v>
      </c>
      <c r="I27" s="10">
        <f>SUM(F27:G27)</f>
        <v>0</v>
      </c>
      <c r="J27" s="12" t="str">
        <f>IF(H27=0," ",(I27-H27)/H27)</f>
        <v> </v>
      </c>
      <c r="K27" s="110" t="s">
        <v>131</v>
      </c>
      <c r="L27" s="108"/>
    </row>
    <row r="28" spans="1:12" ht="12.75" customHeight="1">
      <c r="A28" s="91"/>
      <c r="B28" s="14"/>
      <c r="C28" s="14" t="s">
        <v>178</v>
      </c>
      <c r="D28" s="14"/>
      <c r="E28" s="3">
        <v>16</v>
      </c>
      <c r="F28" s="114"/>
      <c r="G28" s="114"/>
      <c r="H28" s="8">
        <f>'[1]Page 3'!$I$28</f>
        <v>0</v>
      </c>
      <c r="I28" s="9">
        <f>SUM(F28:G28)</f>
        <v>0</v>
      </c>
      <c r="J28" s="12" t="str">
        <f>IF(H28=0," ",(I28-H28)/H28)</f>
        <v> </v>
      </c>
      <c r="K28" s="110" t="s">
        <v>132</v>
      </c>
      <c r="L28" s="108"/>
    </row>
    <row r="29" spans="1:11" ht="12" customHeight="1">
      <c r="A29" s="97"/>
      <c r="B29" s="34" t="s">
        <v>115</v>
      </c>
      <c r="C29" s="34"/>
      <c r="D29" s="34"/>
      <c r="E29" s="5">
        <v>17</v>
      </c>
      <c r="F29" s="115">
        <f>SUM(F24:F28)</f>
        <v>6231</v>
      </c>
      <c r="G29" s="115">
        <f>SUM(G24:G28)</f>
        <v>0</v>
      </c>
      <c r="H29" s="198">
        <f>SUM(H25:H28)</f>
        <v>6231</v>
      </c>
      <c r="I29" s="198">
        <f>SUM(I25:I28)</f>
        <v>6231</v>
      </c>
      <c r="J29" s="184">
        <f>IF(H29=0," ",(I29-H29)/H29)</f>
        <v>0</v>
      </c>
      <c r="K29" s="112" t="s">
        <v>133</v>
      </c>
    </row>
    <row r="30" spans="1:12" ht="12" customHeight="1">
      <c r="A30" s="91"/>
      <c r="B30" s="14" t="s">
        <v>30</v>
      </c>
      <c r="C30" s="14"/>
      <c r="D30" s="14"/>
      <c r="E30" s="3"/>
      <c r="F30" s="194"/>
      <c r="G30" s="201"/>
      <c r="H30" s="80"/>
      <c r="I30" s="1"/>
      <c r="J30" s="80"/>
      <c r="K30" s="110"/>
      <c r="L30" s="108"/>
    </row>
    <row r="31" spans="1:12" ht="12" customHeight="1">
      <c r="A31" s="91"/>
      <c r="B31" s="14"/>
      <c r="C31" s="14" t="s">
        <v>24</v>
      </c>
      <c r="D31" s="14"/>
      <c r="E31" s="3">
        <v>18</v>
      </c>
      <c r="F31" s="114"/>
      <c r="G31" s="196"/>
      <c r="H31" s="114">
        <f>'[1]Page 3'!$I$31</f>
        <v>0</v>
      </c>
      <c r="I31" s="200">
        <f>SUM(F30:G31)</f>
        <v>0</v>
      </c>
      <c r="J31" s="188" t="str">
        <f>IF(H31=0," ",(I31-H31)/H31)</f>
        <v> </v>
      </c>
      <c r="K31" s="110" t="s">
        <v>134</v>
      </c>
      <c r="L31" s="108"/>
    </row>
    <row r="32" spans="1:12" ht="12" customHeight="1">
      <c r="A32" s="91"/>
      <c r="B32" s="14"/>
      <c r="C32" s="14" t="s">
        <v>109</v>
      </c>
      <c r="D32" s="14"/>
      <c r="E32" s="3">
        <v>19</v>
      </c>
      <c r="F32" s="8"/>
      <c r="G32" s="8"/>
      <c r="H32" s="36">
        <f>'[1]Page 3'!$I$32</f>
        <v>0</v>
      </c>
      <c r="I32" s="10">
        <f>SUM(F32:G32)</f>
        <v>0</v>
      </c>
      <c r="J32" s="12" t="str">
        <f>IF(H32=0," ",(I32-H32)/H32)</f>
        <v> </v>
      </c>
      <c r="K32" s="110" t="s">
        <v>135</v>
      </c>
      <c r="L32" s="108"/>
    </row>
    <row r="33" spans="1:12" ht="12" customHeight="1">
      <c r="A33" s="91"/>
      <c r="B33" s="14"/>
      <c r="C33" s="14" t="s">
        <v>178</v>
      </c>
      <c r="D33" s="14"/>
      <c r="E33" s="3">
        <v>20</v>
      </c>
      <c r="F33" s="8"/>
      <c r="G33" s="8"/>
      <c r="H33" s="8">
        <f>'[1]Page 3'!$I$33</f>
        <v>0</v>
      </c>
      <c r="I33" s="9">
        <f>SUM(F33:G33)</f>
        <v>0</v>
      </c>
      <c r="J33" s="12" t="str">
        <f>IF(H33=0," ",(I33-H33)/H33)</f>
        <v> </v>
      </c>
      <c r="K33" s="110" t="s">
        <v>136</v>
      </c>
      <c r="L33" s="108"/>
    </row>
    <row r="34" spans="1:12" ht="12.75">
      <c r="A34" s="97"/>
      <c r="B34" s="34" t="s">
        <v>116</v>
      </c>
      <c r="C34" s="34"/>
      <c r="D34" s="34"/>
      <c r="E34" s="5">
        <v>21</v>
      </c>
      <c r="F34" s="9">
        <f>SUM(F30:F33)</f>
        <v>0</v>
      </c>
      <c r="G34" s="9">
        <f>SUM(G30:G33)</f>
        <v>0</v>
      </c>
      <c r="H34" s="198">
        <f>SUM(H31:H33)</f>
        <v>0</v>
      </c>
      <c r="I34" s="198">
        <f>SUM(I31:I33)</f>
        <v>0</v>
      </c>
      <c r="J34" s="184" t="str">
        <f>IF(H34=0," ",(I34-H34)/H34)</f>
        <v> </v>
      </c>
      <c r="K34" s="110" t="s">
        <v>137</v>
      </c>
      <c r="L34" s="108"/>
    </row>
    <row r="35" spans="1:11" ht="12" customHeight="1">
      <c r="A35" s="91"/>
      <c r="B35" s="113" t="s">
        <v>112</v>
      </c>
      <c r="C35" s="14"/>
      <c r="D35" s="14"/>
      <c r="E35" s="3"/>
      <c r="F35" s="194"/>
      <c r="G35" s="201"/>
      <c r="H35" s="80"/>
      <c r="I35" s="1"/>
      <c r="J35" s="80"/>
      <c r="K35" s="112"/>
    </row>
    <row r="36" spans="1:12" ht="12" customHeight="1">
      <c r="A36" s="91"/>
      <c r="B36" s="14"/>
      <c r="C36" s="14" t="s">
        <v>24</v>
      </c>
      <c r="D36" s="14"/>
      <c r="E36" s="3">
        <v>22</v>
      </c>
      <c r="F36" s="114"/>
      <c r="G36" s="196"/>
      <c r="H36" s="114">
        <f>'[1]Page 3'!$I$36</f>
        <v>0</v>
      </c>
      <c r="I36" s="200">
        <f>SUM(F35:G36)</f>
        <v>0</v>
      </c>
      <c r="J36" s="188" t="str">
        <f>IF(H36=0," ",(I36-H36)/H36)</f>
        <v> </v>
      </c>
      <c r="K36" s="110" t="s">
        <v>138</v>
      </c>
      <c r="L36" s="108"/>
    </row>
    <row r="37" spans="1:12" ht="12" customHeight="1">
      <c r="A37" s="91"/>
      <c r="B37" s="14"/>
      <c r="C37" s="14" t="s">
        <v>109</v>
      </c>
      <c r="D37" s="14"/>
      <c r="E37" s="3">
        <v>23</v>
      </c>
      <c r="F37" s="8"/>
      <c r="G37" s="8"/>
      <c r="H37" s="36">
        <f>'[1]Page 3'!$I$37</f>
        <v>0</v>
      </c>
      <c r="I37" s="10">
        <f>SUM(F37:G37)</f>
        <v>0</v>
      </c>
      <c r="J37" s="12" t="str">
        <f>IF(H37=0," ",(I37-H37)/H37)</f>
        <v> </v>
      </c>
      <c r="K37" s="110" t="s">
        <v>139</v>
      </c>
      <c r="L37" s="108"/>
    </row>
    <row r="38" spans="1:12" ht="12" customHeight="1">
      <c r="A38" s="91"/>
      <c r="B38" s="14"/>
      <c r="C38" s="14" t="s">
        <v>178</v>
      </c>
      <c r="D38" s="14"/>
      <c r="E38" s="3">
        <v>24</v>
      </c>
      <c r="F38" s="8"/>
      <c r="G38" s="8"/>
      <c r="H38" s="8">
        <f>'[1]Page 3'!$I$38</f>
        <v>0</v>
      </c>
      <c r="I38" s="9">
        <f>SUM(F38:G38)</f>
        <v>0</v>
      </c>
      <c r="J38" s="12" t="str">
        <f>IF(H38=0," ",(I38-H38)/H38)</f>
        <v> </v>
      </c>
      <c r="K38" s="110" t="s">
        <v>140</v>
      </c>
      <c r="L38" s="108"/>
    </row>
    <row r="39" spans="1:12" ht="12" customHeight="1">
      <c r="A39" s="97"/>
      <c r="B39" s="34" t="s">
        <v>117</v>
      </c>
      <c r="C39" s="34"/>
      <c r="D39" s="34"/>
      <c r="E39" s="5">
        <v>25</v>
      </c>
      <c r="F39" s="9">
        <f>SUM(F35:F38)</f>
        <v>0</v>
      </c>
      <c r="G39" s="9">
        <f>SUM(G35:G38)</f>
        <v>0</v>
      </c>
      <c r="H39" s="9">
        <f>SUM(H36:H38)</f>
        <v>0</v>
      </c>
      <c r="I39" s="9">
        <f>SUM(I36:I38)</f>
        <v>0</v>
      </c>
      <c r="J39" s="12" t="str">
        <f>IF(H39=0," ",(I39-H39)/H39)</f>
        <v> </v>
      </c>
      <c r="K39" s="110" t="s">
        <v>141</v>
      </c>
      <c r="L39" s="108"/>
    </row>
    <row r="40" spans="1:12" ht="12" customHeight="1">
      <c r="A40" s="97" t="s">
        <v>118</v>
      </c>
      <c r="B40" s="34"/>
      <c r="C40" s="34"/>
      <c r="D40" s="34"/>
      <c r="E40" s="5">
        <v>26</v>
      </c>
      <c r="F40" s="10">
        <f>F29+F34+F39</f>
        <v>6231</v>
      </c>
      <c r="G40" s="10">
        <f>G29+G34+G39</f>
        <v>0</v>
      </c>
      <c r="H40" s="10">
        <f>H29+H34+H39</f>
        <v>6231</v>
      </c>
      <c r="I40" s="10">
        <f>I29+I34+I39</f>
        <v>6231</v>
      </c>
      <c r="J40" s="12">
        <f>IF(H40=0," ",(I40-H40)/H40)</f>
        <v>0</v>
      </c>
      <c r="K40" s="110" t="s">
        <v>142</v>
      </c>
      <c r="L40" s="108"/>
    </row>
    <row r="41" spans="1:13" ht="12" customHeight="1">
      <c r="A41" s="14"/>
      <c r="B41" s="14"/>
      <c r="C41" s="14"/>
      <c r="D41" s="14"/>
      <c r="E41" s="3"/>
      <c r="F41" s="7"/>
      <c r="G41" s="7"/>
      <c r="H41" s="7"/>
      <c r="I41" s="7"/>
      <c r="K41" s="7"/>
      <c r="L41" s="7"/>
      <c r="M41" s="11"/>
    </row>
    <row r="42" spans="1:13" ht="12" customHeight="1">
      <c r="A42" s="14"/>
      <c r="B42" s="14"/>
      <c r="C42" s="14"/>
      <c r="D42" s="14"/>
      <c r="E42" s="3"/>
      <c r="F42" s="7"/>
      <c r="G42" s="7"/>
      <c r="H42" s="7"/>
      <c r="I42" s="7"/>
      <c r="K42" s="7"/>
      <c r="L42" s="7"/>
      <c r="M42" s="11"/>
    </row>
    <row r="43" spans="1:12" ht="12.75" customHeight="1">
      <c r="A43" s="14"/>
      <c r="B43" s="14"/>
      <c r="C43" s="14"/>
      <c r="D43" s="14"/>
      <c r="E43" s="3"/>
      <c r="F43" s="7"/>
      <c r="G43" s="7"/>
      <c r="H43" s="7"/>
      <c r="I43" s="7"/>
      <c r="J43" s="7"/>
      <c r="K43" s="7"/>
      <c r="L43" s="2"/>
    </row>
  </sheetData>
  <sheetProtection sheet="1"/>
  <mergeCells count="2">
    <mergeCell ref="H4:I4"/>
    <mergeCell ref="D4:D5"/>
  </mergeCells>
  <hyperlinks>
    <hyperlink ref="A7:D7" location="Pgs3and4ClassroomSiteProj" display="Classroom Site Project 1011 - Base Salary"/>
    <hyperlink ref="A24:D24" location="Pgs3and4ClassroomSiteProj" display="Classroom Site Project 1012 - Performance Pay"/>
  </hyperlinks>
  <printOptions horizontalCentered="1" verticalCentered="1"/>
  <pageMargins left="0.75" right="0.5" top="0.5" bottom="0.5" header="0.5" footer="0.25"/>
  <pageSetup horizontalDpi="300" verticalDpi="300" orientation="landscape" paperSize="5" r:id="rId2"/>
  <headerFooter>
    <oddFooter>&amp;L&amp;"Arial,Bold"Rev. 5/14&amp;C&amp;"Arial,Bold"FY 2015&amp;R&amp;"Arial,Bold"Page 3 of 5</oddFooter>
  </headerFooter>
  <ignoredErrors>
    <ignoredError sqref="H25 H8" unlockedFormula="1"/>
    <ignoredError sqref="F12:G12 I10:I11 I15:I16 I20:I21 I27:I28 I32:I33 I37:I38" formulaRange="1"/>
  </ignoredErrors>
  <drawing r:id="rId1"/>
</worksheet>
</file>

<file path=xl/worksheets/sheet5.xml><?xml version="1.0" encoding="utf-8"?>
<worksheet xmlns="http://schemas.openxmlformats.org/spreadsheetml/2006/main" xmlns:r="http://schemas.openxmlformats.org/officeDocument/2006/relationships">
  <sheetPr codeName="Sheet4"/>
  <dimension ref="A1:T47"/>
  <sheetViews>
    <sheetView showGridLines="0" zoomScale="80" zoomScaleNormal="80" workbookViewId="0" topLeftCell="A1">
      <selection activeCell="K27" sqref="K27"/>
    </sheetView>
  </sheetViews>
  <sheetFormatPr defaultColWidth="9.140625" defaultRowHeight="12.75" customHeight="1"/>
  <cols>
    <col min="1" max="1" width="1.7109375" style="17" customWidth="1"/>
    <col min="2" max="2" width="1.8515625" style="17" customWidth="1"/>
    <col min="3" max="3" width="14.7109375" style="17" customWidth="1"/>
    <col min="4" max="4" width="33.00390625" style="17" customWidth="1"/>
    <col min="5" max="5" width="3.8515625" style="17" customWidth="1"/>
    <col min="6" max="11" width="13.7109375" style="17" customWidth="1"/>
    <col min="12" max="12" width="11.57421875" style="17" customWidth="1"/>
    <col min="13" max="14" width="3.7109375" style="17" customWidth="1"/>
    <col min="15" max="15" width="3.421875" style="17" customWidth="1"/>
    <col min="16" max="16384" width="9.140625" style="17" customWidth="1"/>
  </cols>
  <sheetData>
    <row r="1" spans="1:14" ht="12" customHeight="1">
      <c r="A1" s="17" t="s">
        <v>0</v>
      </c>
      <c r="D1" s="370" t="str">
        <f>Cover!D1</f>
        <v>Camp Verde Unified School District</v>
      </c>
      <c r="E1" s="370"/>
      <c r="F1" s="370"/>
      <c r="G1" s="73" t="s">
        <v>65</v>
      </c>
      <c r="H1" s="370" t="str">
        <f>Cover!M1</f>
        <v>Yavapai</v>
      </c>
      <c r="I1" s="370"/>
      <c r="J1" s="62"/>
      <c r="K1" s="73" t="s">
        <v>103</v>
      </c>
      <c r="L1" s="71" t="str">
        <f>Cover!R1</f>
        <v>138771000</v>
      </c>
      <c r="N1" s="62"/>
    </row>
    <row r="2" spans="1:13" ht="1.5" customHeight="1">
      <c r="A2" s="74"/>
      <c r="B2" s="74"/>
      <c r="C2" s="74"/>
      <c r="D2" s="74"/>
      <c r="E2" s="74"/>
      <c r="F2" s="74"/>
      <c r="G2" s="74"/>
      <c r="H2" s="74"/>
      <c r="I2" s="104"/>
      <c r="J2" s="14"/>
      <c r="K2" s="14"/>
      <c r="L2" s="14"/>
      <c r="M2" s="14"/>
    </row>
    <row r="3" spans="1:13" ht="9" customHeight="1">
      <c r="A3" s="74"/>
      <c r="B3" s="74"/>
      <c r="C3" s="74"/>
      <c r="D3" s="74"/>
      <c r="E3" s="74"/>
      <c r="F3" s="74"/>
      <c r="G3" s="74"/>
      <c r="H3" s="74"/>
      <c r="I3" s="74"/>
      <c r="J3" s="14"/>
      <c r="K3" s="14"/>
      <c r="L3" s="14"/>
      <c r="M3" s="14"/>
    </row>
    <row r="4" spans="1:13" ht="12.75">
      <c r="A4" s="371"/>
      <c r="B4" s="371"/>
      <c r="C4" s="371"/>
      <c r="D4" s="372"/>
      <c r="E4" s="371"/>
      <c r="F4" s="371"/>
      <c r="G4" s="372"/>
      <c r="H4" s="372"/>
      <c r="I4" s="372"/>
      <c r="J4" s="372"/>
      <c r="K4" s="372"/>
      <c r="L4" s="14"/>
      <c r="M4" s="14"/>
    </row>
    <row r="5" spans="1:12" ht="12.75" customHeight="1">
      <c r="A5" s="1"/>
      <c r="B5" s="76"/>
      <c r="C5" s="76"/>
      <c r="D5" s="366"/>
      <c r="E5" s="77"/>
      <c r="F5" s="100"/>
      <c r="G5" s="1"/>
      <c r="H5" s="180" t="s">
        <v>16</v>
      </c>
      <c r="I5" s="154"/>
      <c r="J5" s="364" t="s">
        <v>73</v>
      </c>
      <c r="K5" s="365"/>
      <c r="L5" s="81"/>
    </row>
    <row r="6" spans="1:12" ht="12.75" customHeight="1">
      <c r="A6" s="91"/>
      <c r="B6" s="14"/>
      <c r="C6" s="14"/>
      <c r="D6" s="356"/>
      <c r="E6" s="84"/>
      <c r="F6" s="101"/>
      <c r="G6" s="181" t="s">
        <v>15</v>
      </c>
      <c r="H6" s="179" t="s">
        <v>19</v>
      </c>
      <c r="I6" s="153"/>
      <c r="J6" s="81"/>
      <c r="K6" s="153"/>
      <c r="L6" s="179" t="s">
        <v>75</v>
      </c>
    </row>
    <row r="7" spans="1:12" ht="12.75" customHeight="1">
      <c r="A7" s="4" t="s">
        <v>106</v>
      </c>
      <c r="B7" s="14"/>
      <c r="C7" s="14"/>
      <c r="D7" s="14"/>
      <c r="E7" s="84"/>
      <c r="F7" s="101" t="s">
        <v>17</v>
      </c>
      <c r="G7" s="182" t="s">
        <v>18</v>
      </c>
      <c r="H7" s="179" t="s">
        <v>22</v>
      </c>
      <c r="I7" s="153" t="s">
        <v>20</v>
      </c>
      <c r="J7" s="308" t="s">
        <v>304</v>
      </c>
      <c r="K7" s="153" t="s">
        <v>67</v>
      </c>
      <c r="L7" s="183" t="s">
        <v>76</v>
      </c>
    </row>
    <row r="8" spans="1:12" ht="12.75" customHeight="1">
      <c r="A8" s="97"/>
      <c r="B8" s="34"/>
      <c r="C8" s="34"/>
      <c r="D8" s="34"/>
      <c r="E8" s="102"/>
      <c r="F8" s="103">
        <v>6100</v>
      </c>
      <c r="G8" s="103">
        <v>6200</v>
      </c>
      <c r="H8" s="90">
        <v>6500</v>
      </c>
      <c r="I8" s="157">
        <v>6600</v>
      </c>
      <c r="J8" s="87">
        <v>2014</v>
      </c>
      <c r="K8" s="153">
        <v>2015</v>
      </c>
      <c r="L8" s="87" t="s">
        <v>77</v>
      </c>
    </row>
    <row r="9" spans="1:13" ht="12" customHeight="1">
      <c r="A9" s="294" t="s">
        <v>104</v>
      </c>
      <c r="B9" s="280"/>
      <c r="C9" s="280"/>
      <c r="D9" s="280"/>
      <c r="E9" s="3"/>
      <c r="F9" s="136"/>
      <c r="G9" s="136"/>
      <c r="H9" s="136"/>
      <c r="I9" s="138"/>
      <c r="J9" s="80"/>
      <c r="K9" s="80"/>
      <c r="L9" s="80"/>
      <c r="M9" s="2"/>
    </row>
    <row r="10" spans="1:13" ht="12" customHeight="1">
      <c r="A10" s="91"/>
      <c r="B10" s="14" t="s">
        <v>23</v>
      </c>
      <c r="C10" s="14"/>
      <c r="D10" s="14"/>
      <c r="E10" s="14"/>
      <c r="F10" s="202"/>
      <c r="G10" s="202"/>
      <c r="H10" s="202"/>
      <c r="I10" s="192"/>
      <c r="J10" s="202"/>
      <c r="K10" s="202"/>
      <c r="L10" s="193"/>
      <c r="M10" s="14"/>
    </row>
    <row r="11" spans="1:14" ht="12" customHeight="1">
      <c r="A11" s="91"/>
      <c r="C11" s="14" t="s">
        <v>24</v>
      </c>
      <c r="D11" s="14"/>
      <c r="E11" s="3">
        <v>1</v>
      </c>
      <c r="F11" s="109">
        <v>6231</v>
      </c>
      <c r="G11" s="109">
        <v>800</v>
      </c>
      <c r="H11" s="109"/>
      <c r="I11" s="189"/>
      <c r="J11" s="109">
        <f>'[1]Page 4'!$K$11</f>
        <v>7031</v>
      </c>
      <c r="K11" s="111">
        <f>SUM(F11:I11)</f>
        <v>7031</v>
      </c>
      <c r="L11" s="188">
        <f>IF(J11=0," ",(K11-J11)/J11)</f>
        <v>0</v>
      </c>
      <c r="M11" s="2">
        <v>1</v>
      </c>
      <c r="N11" s="15"/>
    </row>
    <row r="12" spans="1:14" ht="12.75" customHeight="1">
      <c r="A12" s="91"/>
      <c r="C12" s="14" t="s">
        <v>179</v>
      </c>
      <c r="D12" s="14"/>
      <c r="E12" s="3">
        <v>2</v>
      </c>
      <c r="F12" s="155"/>
      <c r="G12" s="109"/>
      <c r="H12" s="109"/>
      <c r="I12" s="109"/>
      <c r="J12" s="28">
        <f>'[1]Page 4'!$K$12</f>
        <v>0</v>
      </c>
      <c r="K12" s="140">
        <f>SUM(F12:I12)</f>
        <v>0</v>
      </c>
      <c r="L12" s="141" t="str">
        <f>IF(J12=0," ",(K12-J12)/J12)</f>
        <v> </v>
      </c>
      <c r="M12" s="94">
        <v>2</v>
      </c>
      <c r="N12" s="15"/>
    </row>
    <row r="13" spans="1:14" ht="12.75" customHeight="1">
      <c r="A13" s="91"/>
      <c r="C13" s="14" t="s">
        <v>178</v>
      </c>
      <c r="D13" s="14"/>
      <c r="E13" s="3">
        <v>3</v>
      </c>
      <c r="F13" s="156"/>
      <c r="G13" s="27"/>
      <c r="H13" s="27"/>
      <c r="I13" s="27"/>
      <c r="J13" s="28">
        <f>'[1]Page 4'!$K$13</f>
        <v>0</v>
      </c>
      <c r="K13" s="22">
        <f>SUM(F13:I13)</f>
        <v>0</v>
      </c>
      <c r="L13" s="139" t="str">
        <f>IF(J13=0," ",(K13-J13)/J13)</f>
        <v> </v>
      </c>
      <c r="M13" s="94">
        <v>3</v>
      </c>
      <c r="N13" s="15"/>
    </row>
    <row r="14" spans="1:14" ht="12.75" customHeight="1">
      <c r="A14" s="97"/>
      <c r="B14" s="34" t="s">
        <v>110</v>
      </c>
      <c r="C14" s="34"/>
      <c r="D14" s="34"/>
      <c r="E14" s="25">
        <v>4</v>
      </c>
      <c r="F14" s="32">
        <f>SUM(F9:F13)</f>
        <v>6231</v>
      </c>
      <c r="G14" s="6">
        <f>SUM(G9:G13)</f>
        <v>800</v>
      </c>
      <c r="H14" s="6">
        <f>SUM(H9:H13)</f>
        <v>0</v>
      </c>
      <c r="I14" s="6">
        <f>SUM(I9:I13)</f>
        <v>0</v>
      </c>
      <c r="J14" s="185">
        <f>SUM(J10:J13)</f>
        <v>7031</v>
      </c>
      <c r="K14" s="185">
        <f>SUM(F14:I14)</f>
        <v>7031</v>
      </c>
      <c r="L14" s="184">
        <f>IF(J14=0," ",(K14-J14)/J14)</f>
        <v>0</v>
      </c>
      <c r="M14" s="94">
        <v>4</v>
      </c>
      <c r="N14" s="15"/>
    </row>
    <row r="15" spans="1:14" ht="12.75" customHeight="1">
      <c r="A15" s="1"/>
      <c r="B15" s="14" t="s">
        <v>30</v>
      </c>
      <c r="C15" s="14"/>
      <c r="D15" s="14"/>
      <c r="E15" s="3"/>
      <c r="F15" s="136"/>
      <c r="G15" s="136"/>
      <c r="H15" s="136"/>
      <c r="I15" s="138"/>
      <c r="J15" s="80"/>
      <c r="K15" s="80"/>
      <c r="L15" s="80"/>
      <c r="M15" s="2"/>
      <c r="N15" s="15"/>
    </row>
    <row r="16" spans="1:14" ht="12" customHeight="1">
      <c r="A16" s="91"/>
      <c r="C16" s="14" t="s">
        <v>24</v>
      </c>
      <c r="D16" s="14"/>
      <c r="E16" s="3">
        <v>5</v>
      </c>
      <c r="F16" s="109"/>
      <c r="G16" s="109"/>
      <c r="H16" s="109"/>
      <c r="I16" s="189"/>
      <c r="J16" s="109">
        <f>'[1]Page 4'!$K$16</f>
        <v>0</v>
      </c>
      <c r="K16" s="111">
        <f>SUM(F16:I16)</f>
        <v>0</v>
      </c>
      <c r="L16" s="188" t="str">
        <f>IF(J16=0," ",(K16-J16)/J16)</f>
        <v> </v>
      </c>
      <c r="M16" s="2">
        <v>5</v>
      </c>
      <c r="N16" s="15"/>
    </row>
    <row r="17" spans="1:14" ht="12.75" customHeight="1">
      <c r="A17" s="91"/>
      <c r="C17" s="14" t="s">
        <v>179</v>
      </c>
      <c r="D17" s="14"/>
      <c r="E17" s="23">
        <v>6</v>
      </c>
      <c r="F17" s="155"/>
      <c r="G17" s="109"/>
      <c r="H17" s="109"/>
      <c r="I17" s="109"/>
      <c r="J17" s="109">
        <f>'[1]Page 4'!$K$17</f>
        <v>0</v>
      </c>
      <c r="K17" s="136">
        <f>SUM(F17:I17)</f>
        <v>0</v>
      </c>
      <c r="L17" s="137" t="str">
        <f>IF(J17=0," ",(K17-J17)/J17)</f>
        <v> </v>
      </c>
      <c r="M17" s="94">
        <v>6</v>
      </c>
      <c r="N17" s="15"/>
    </row>
    <row r="18" spans="1:14" ht="12.75" customHeight="1">
      <c r="A18" s="91"/>
      <c r="C18" s="14" t="s">
        <v>178</v>
      </c>
      <c r="D18" s="14"/>
      <c r="E18" s="23">
        <v>7</v>
      </c>
      <c r="F18" s="156"/>
      <c r="G18" s="27"/>
      <c r="H18" s="27"/>
      <c r="I18" s="27"/>
      <c r="J18" s="28">
        <f>'[1]Page 4'!$K$18</f>
        <v>0</v>
      </c>
      <c r="K18" s="22">
        <f>SUM(F18:I18)</f>
        <v>0</v>
      </c>
      <c r="L18" s="139" t="str">
        <f aca="true" t="shared" si="0" ref="L18:L27">IF(J18=0," ",(K18-J18)/J18)</f>
        <v> </v>
      </c>
      <c r="M18" s="94">
        <v>7</v>
      </c>
      <c r="N18" s="15"/>
    </row>
    <row r="19" spans="1:14" ht="12.75" customHeight="1">
      <c r="A19" s="97"/>
      <c r="B19" s="34" t="s">
        <v>111</v>
      </c>
      <c r="C19" s="34"/>
      <c r="D19" s="34"/>
      <c r="E19" s="25">
        <v>8</v>
      </c>
      <c r="F19" s="32">
        <f>SUM(F15:F18)</f>
        <v>0</v>
      </c>
      <c r="G19" s="6">
        <f>SUM(G15:G18)</f>
        <v>0</v>
      </c>
      <c r="H19" s="6">
        <f>SUM(H15:H18)</f>
        <v>0</v>
      </c>
      <c r="I19" s="6">
        <f>SUM(I15:I18)</f>
        <v>0</v>
      </c>
      <c r="J19" s="185">
        <f>SUM(J16:J18)</f>
        <v>0</v>
      </c>
      <c r="K19" s="185">
        <f>SUM(F19:I19)</f>
        <v>0</v>
      </c>
      <c r="L19" s="184" t="str">
        <f t="shared" si="0"/>
        <v> </v>
      </c>
      <c r="M19" s="94">
        <v>8</v>
      </c>
      <c r="N19" s="15"/>
    </row>
    <row r="20" spans="1:14" ht="12.75" customHeight="1">
      <c r="A20" s="1"/>
      <c r="B20" s="76" t="s">
        <v>144</v>
      </c>
      <c r="C20" s="76"/>
      <c r="D20" s="76"/>
      <c r="E20" s="26"/>
      <c r="F20" s="136"/>
      <c r="G20" s="136"/>
      <c r="H20" s="136"/>
      <c r="I20" s="138"/>
      <c r="J20" s="80"/>
      <c r="K20" s="80"/>
      <c r="L20" s="80"/>
      <c r="M20" s="2"/>
      <c r="N20" s="15"/>
    </row>
    <row r="21" spans="1:14" ht="12.75" customHeight="1">
      <c r="A21" s="97"/>
      <c r="B21" s="34"/>
      <c r="C21" s="34" t="s">
        <v>24</v>
      </c>
      <c r="D21" s="34"/>
      <c r="E21" s="25">
        <v>9</v>
      </c>
      <c r="F21" s="109"/>
      <c r="G21" s="109"/>
      <c r="H21" s="109"/>
      <c r="I21" s="189"/>
      <c r="J21" s="109">
        <f>'[1]Page 4'!$K$21</f>
        <v>0</v>
      </c>
      <c r="K21" s="111">
        <f>SUM(F21:I21)</f>
        <v>0</v>
      </c>
      <c r="L21" s="188" t="str">
        <f>IF(J21=0," ",(K21-J21)/J21)</f>
        <v> </v>
      </c>
      <c r="M21" s="2">
        <v>9</v>
      </c>
      <c r="N21" s="15"/>
    </row>
    <row r="22" spans="1:14" ht="12.75" customHeight="1">
      <c r="A22" s="1"/>
      <c r="B22" s="131" t="s">
        <v>112</v>
      </c>
      <c r="C22" s="14"/>
      <c r="D22" s="14"/>
      <c r="E22" s="23"/>
      <c r="F22" s="136"/>
      <c r="G22" s="136"/>
      <c r="H22" s="136"/>
      <c r="I22" s="138"/>
      <c r="J22" s="80"/>
      <c r="K22" s="80"/>
      <c r="L22" s="80"/>
      <c r="M22" s="2"/>
      <c r="N22" s="15"/>
    </row>
    <row r="23" spans="1:14" ht="12.75" customHeight="1">
      <c r="A23" s="91"/>
      <c r="C23" s="14" t="s">
        <v>24</v>
      </c>
      <c r="D23" s="14"/>
      <c r="E23" s="3">
        <v>10</v>
      </c>
      <c r="F23" s="109"/>
      <c r="G23" s="109"/>
      <c r="H23" s="109"/>
      <c r="I23" s="189"/>
      <c r="J23" s="109">
        <f>'[1]Page 4'!$K$23</f>
        <v>0</v>
      </c>
      <c r="K23" s="111">
        <f>SUM(F23:I23)</f>
        <v>0</v>
      </c>
      <c r="L23" s="188" t="str">
        <f>IF(J23=0," ",(K23-J23)/J23)</f>
        <v> </v>
      </c>
      <c r="M23" s="2">
        <v>10</v>
      </c>
      <c r="N23" s="15"/>
    </row>
    <row r="24" spans="1:20" ht="12.75" customHeight="1">
      <c r="A24" s="91"/>
      <c r="C24" s="146" t="s">
        <v>202</v>
      </c>
      <c r="D24" s="14"/>
      <c r="E24" s="3">
        <v>11</v>
      </c>
      <c r="F24" s="156"/>
      <c r="G24" s="27"/>
      <c r="H24" s="27"/>
      <c r="I24" s="27"/>
      <c r="J24" s="27">
        <f>'[1]Page 4'!$K$24</f>
        <v>0</v>
      </c>
      <c r="K24" s="6">
        <f>SUM(F24:I24)</f>
        <v>0</v>
      </c>
      <c r="L24" s="12" t="str">
        <f t="shared" si="0"/>
        <v> </v>
      </c>
      <c r="M24" s="94">
        <v>11</v>
      </c>
      <c r="N24" s="15"/>
      <c r="T24" s="275"/>
    </row>
    <row r="25" spans="1:14" ht="12.75" customHeight="1">
      <c r="A25" s="91"/>
      <c r="B25" s="146" t="s">
        <v>152</v>
      </c>
      <c r="C25" s="34"/>
      <c r="D25" s="34"/>
      <c r="E25" s="25">
        <v>12</v>
      </c>
      <c r="F25" s="32">
        <f>SUM(F22:F24)</f>
        <v>0</v>
      </c>
      <c r="G25" s="6">
        <f>SUM(G22:G24)</f>
        <v>0</v>
      </c>
      <c r="H25" s="6">
        <f>SUM(H22:H24)</f>
        <v>0</v>
      </c>
      <c r="I25" s="6">
        <f>SUM(I22:I24)</f>
        <v>0</v>
      </c>
      <c r="J25" s="6">
        <f>SUM(J23:J24)</f>
        <v>0</v>
      </c>
      <c r="K25" s="6">
        <f>SUM(F25:I25)</f>
        <v>0</v>
      </c>
      <c r="L25" s="12" t="str">
        <f t="shared" si="0"/>
        <v> </v>
      </c>
      <c r="M25" s="94">
        <v>12</v>
      </c>
      <c r="N25" s="15"/>
    </row>
    <row r="26" spans="1:14" ht="12.75" customHeight="1">
      <c r="A26" s="147" t="s">
        <v>145</v>
      </c>
      <c r="B26" s="99"/>
      <c r="C26" s="34"/>
      <c r="D26" s="99"/>
      <c r="E26" s="24">
        <v>13</v>
      </c>
      <c r="F26" s="32">
        <f>F14+F19+F20+F21+F25</f>
        <v>6231</v>
      </c>
      <c r="G26" s="6">
        <f>G14+G19+G20+G21+G25</f>
        <v>800</v>
      </c>
      <c r="H26" s="6">
        <f>H14+H19+H20+H21+H25</f>
        <v>0</v>
      </c>
      <c r="I26" s="6">
        <f>I14+I19+I20+I21+I25</f>
        <v>0</v>
      </c>
      <c r="J26" s="6">
        <f>J14+J19+J21+J25</f>
        <v>7031</v>
      </c>
      <c r="K26" s="6">
        <f>K14+K19+K21+K25</f>
        <v>7031</v>
      </c>
      <c r="L26" s="12">
        <f t="shared" si="0"/>
        <v>0</v>
      </c>
      <c r="M26" s="94">
        <v>13</v>
      </c>
      <c r="N26" s="15"/>
    </row>
    <row r="27" spans="1:14" ht="12.75" customHeight="1">
      <c r="A27" s="147" t="s">
        <v>215</v>
      </c>
      <c r="B27" s="99"/>
      <c r="C27" s="99"/>
      <c r="D27" s="99"/>
      <c r="E27" s="24">
        <v>14</v>
      </c>
      <c r="F27" s="32">
        <f>F26+'Page 3'!F23+'Page 3'!F40</f>
        <v>14576</v>
      </c>
      <c r="G27" s="33">
        <f>G26+'Page 3'!G23+'Page 3'!G40</f>
        <v>1300</v>
      </c>
      <c r="H27" s="33">
        <f>H26</f>
        <v>0</v>
      </c>
      <c r="I27" s="33">
        <f>I26</f>
        <v>0</v>
      </c>
      <c r="J27" s="33">
        <f>J26+'Page 3'!H23+'Page 3'!H40</f>
        <v>15876</v>
      </c>
      <c r="K27" s="32">
        <f>K26+'Page 3'!I23+'Page 3'!I40</f>
        <v>15876</v>
      </c>
      <c r="L27" s="12">
        <f t="shared" si="0"/>
        <v>0</v>
      </c>
      <c r="M27" s="94">
        <v>14</v>
      </c>
      <c r="N27" s="15"/>
    </row>
    <row r="29" spans="1:13" s="14" customFormat="1" ht="12.75" customHeight="1">
      <c r="A29" s="132"/>
      <c r="F29" s="74"/>
      <c r="I29" s="104"/>
      <c r="L29" s="74"/>
      <c r="M29" s="74"/>
    </row>
    <row r="30" spans="1:14" s="14" customFormat="1" ht="12.75" customHeight="1">
      <c r="A30" s="132"/>
      <c r="F30" s="277"/>
      <c r="G30" s="104"/>
      <c r="H30" s="104"/>
      <c r="I30" s="104"/>
      <c r="N30" s="104"/>
    </row>
    <row r="31" spans="1:14" s="14" customFormat="1" ht="12.75">
      <c r="A31" s="295" t="s">
        <v>193</v>
      </c>
      <c r="B31" s="282"/>
      <c r="C31" s="281"/>
      <c r="D31" s="281"/>
      <c r="E31" s="158"/>
      <c r="F31" s="158"/>
      <c r="G31" s="158"/>
      <c r="H31" s="158"/>
      <c r="I31" s="158"/>
      <c r="J31" s="104"/>
      <c r="K31" s="104"/>
      <c r="L31" s="104"/>
      <c r="M31" s="104"/>
      <c r="N31" s="104"/>
    </row>
    <row r="32" spans="1:14" s="14" customFormat="1" ht="12.75" customHeight="1">
      <c r="A32" s="175" t="s">
        <v>150</v>
      </c>
      <c r="C32" s="47"/>
      <c r="D32" s="47"/>
      <c r="E32" s="47"/>
      <c r="F32" s="47"/>
      <c r="G32" s="47"/>
      <c r="H32" s="47"/>
      <c r="I32" s="47"/>
      <c r="J32" s="104"/>
      <c r="K32" s="104"/>
      <c r="L32" s="104"/>
      <c r="M32" s="104"/>
      <c r="N32" s="104"/>
    </row>
    <row r="33" spans="1:14" s="14" customFormat="1" ht="25.5" customHeight="1">
      <c r="A33" s="38"/>
      <c r="B33" s="38"/>
      <c r="C33" s="47"/>
      <c r="D33" s="47"/>
      <c r="E33" s="47"/>
      <c r="F33" s="47"/>
      <c r="G33" s="149" t="s">
        <v>303</v>
      </c>
      <c r="H33" s="149" t="s">
        <v>291</v>
      </c>
      <c r="I33" s="47"/>
      <c r="J33" s="367"/>
      <c r="K33" s="367"/>
      <c r="L33" s="369"/>
      <c r="M33" s="369"/>
      <c r="N33" s="368"/>
    </row>
    <row r="34" spans="1:15" s="14" customFormat="1" ht="12.75" customHeight="1">
      <c r="A34" s="174" t="s">
        <v>55</v>
      </c>
      <c r="B34" s="175" t="s">
        <v>148</v>
      </c>
      <c r="C34" s="170"/>
      <c r="D34" s="170"/>
      <c r="E34" s="47"/>
      <c r="F34" s="47"/>
      <c r="G34" s="30">
        <f>'[1]Page 4'!$H$34</f>
        <v>3000</v>
      </c>
      <c r="H34" s="30">
        <v>3000</v>
      </c>
      <c r="I34" s="124" t="s">
        <v>55</v>
      </c>
      <c r="J34" s="367"/>
      <c r="K34" s="367"/>
      <c r="L34" s="369"/>
      <c r="M34" s="369"/>
      <c r="N34" s="368"/>
      <c r="O34" s="2"/>
    </row>
    <row r="35" spans="1:15" s="14" customFormat="1" ht="12.75" customHeight="1">
      <c r="A35" s="174" t="s">
        <v>56</v>
      </c>
      <c r="B35" s="176" t="s">
        <v>149</v>
      </c>
      <c r="C35" s="170"/>
      <c r="D35" s="170"/>
      <c r="E35" s="47"/>
      <c r="F35" s="47"/>
      <c r="G35" s="30">
        <f>'[1]Page 4'!$H$35</f>
        <v>0</v>
      </c>
      <c r="H35" s="30"/>
      <c r="I35" s="124" t="s">
        <v>56</v>
      </c>
      <c r="J35" s="367"/>
      <c r="K35" s="367"/>
      <c r="L35" s="367"/>
      <c r="M35" s="367"/>
      <c r="N35" s="368"/>
      <c r="O35" s="2"/>
    </row>
    <row r="36" spans="1:15" s="14" customFormat="1" ht="12.75" customHeight="1">
      <c r="A36" s="301" t="s">
        <v>119</v>
      </c>
      <c r="B36" s="298" t="s">
        <v>269</v>
      </c>
      <c r="C36" s="299"/>
      <c r="D36" s="299"/>
      <c r="E36" s="47"/>
      <c r="F36" s="47"/>
      <c r="G36" s="30">
        <f>'[1]Page 4'!$H$36</f>
        <v>0</v>
      </c>
      <c r="H36" s="29"/>
      <c r="I36" s="124" t="s">
        <v>119</v>
      </c>
      <c r="J36" s="367"/>
      <c r="K36" s="367"/>
      <c r="L36" s="367"/>
      <c r="M36" s="367"/>
      <c r="N36" s="368"/>
      <c r="O36" s="2"/>
    </row>
    <row r="37" spans="1:15" s="14" customFormat="1" ht="12.75" customHeight="1" thickBot="1">
      <c r="A37" s="301" t="s">
        <v>120</v>
      </c>
      <c r="B37" s="299" t="s">
        <v>270</v>
      </c>
      <c r="C37" s="299"/>
      <c r="D37" s="300"/>
      <c r="E37" s="18"/>
      <c r="F37" s="124"/>
      <c r="G37" s="30">
        <f>'[1]Page 4'!$H$37</f>
        <v>1000</v>
      </c>
      <c r="H37" s="31">
        <v>1000</v>
      </c>
      <c r="I37" s="20" t="s">
        <v>120</v>
      </c>
      <c r="J37" s="7"/>
      <c r="K37" s="7"/>
      <c r="L37" s="7"/>
      <c r="M37" s="7"/>
      <c r="N37" s="133"/>
      <c r="O37" s="2"/>
    </row>
    <row r="38" spans="1:15" s="14" customFormat="1" ht="12.75" customHeight="1" thickBot="1">
      <c r="A38" s="174" t="s">
        <v>121</v>
      </c>
      <c r="B38" s="175" t="s">
        <v>151</v>
      </c>
      <c r="C38" s="170"/>
      <c r="D38" s="178"/>
      <c r="E38" s="19"/>
      <c r="F38" s="124"/>
      <c r="G38" s="126">
        <f>SUM(G34:G37)</f>
        <v>4000</v>
      </c>
      <c r="H38" s="126">
        <f>SUM(H34:H37)</f>
        <v>4000</v>
      </c>
      <c r="I38" s="20" t="s">
        <v>121</v>
      </c>
      <c r="J38" s="7"/>
      <c r="K38" s="7"/>
      <c r="L38" s="7"/>
      <c r="M38" s="7"/>
      <c r="N38" s="133"/>
      <c r="O38" s="2"/>
    </row>
    <row r="39" spans="1:15" s="14" customFormat="1" ht="12.75" customHeight="1" thickTop="1">
      <c r="A39" s="170"/>
      <c r="B39" s="177"/>
      <c r="C39" s="170"/>
      <c r="D39" s="170"/>
      <c r="E39" s="47"/>
      <c r="F39" s="47"/>
      <c r="G39" s="47"/>
      <c r="H39" s="47"/>
      <c r="I39" s="47"/>
      <c r="J39" s="7"/>
      <c r="K39" s="7"/>
      <c r="L39" s="7"/>
      <c r="M39" s="7"/>
      <c r="N39" s="133"/>
      <c r="O39" s="2"/>
    </row>
    <row r="40" spans="5:15" s="14" customFormat="1" ht="12.75" customHeight="1">
      <c r="E40" s="3"/>
      <c r="F40" s="134"/>
      <c r="G40" s="7"/>
      <c r="H40" s="7"/>
      <c r="I40" s="7"/>
      <c r="J40" s="7"/>
      <c r="K40" s="7"/>
      <c r="L40" s="7"/>
      <c r="M40" s="7"/>
      <c r="N40" s="133"/>
      <c r="O40" s="2"/>
    </row>
    <row r="41" spans="5:15" s="14" customFormat="1" ht="12.75" customHeight="1">
      <c r="E41" s="3"/>
      <c r="F41" s="134"/>
      <c r="G41" s="7"/>
      <c r="H41" s="7"/>
      <c r="I41" s="7"/>
      <c r="J41" s="7"/>
      <c r="K41" s="7"/>
      <c r="L41" s="7"/>
      <c r="M41" s="7"/>
      <c r="N41" s="133"/>
      <c r="O41" s="2"/>
    </row>
    <row r="42" spans="5:15" s="14" customFormat="1" ht="12.75" customHeight="1">
      <c r="E42" s="3"/>
      <c r="F42" s="134"/>
      <c r="G42" s="7"/>
      <c r="H42" s="7"/>
      <c r="I42" s="7"/>
      <c r="J42" s="7"/>
      <c r="K42" s="7"/>
      <c r="L42" s="7"/>
      <c r="M42" s="7"/>
      <c r="N42" s="133"/>
      <c r="O42" s="2"/>
    </row>
    <row r="43" spans="5:15" s="14" customFormat="1" ht="12.75" customHeight="1">
      <c r="E43" s="3"/>
      <c r="F43" s="134"/>
      <c r="G43" s="7"/>
      <c r="H43" s="7"/>
      <c r="I43" s="7"/>
      <c r="J43" s="7"/>
      <c r="K43" s="7"/>
      <c r="L43" s="7"/>
      <c r="M43" s="7"/>
      <c r="N43" s="133"/>
      <c r="O43" s="2"/>
    </row>
    <row r="44" spans="5:15" s="14" customFormat="1" ht="12.75" customHeight="1">
      <c r="E44" s="3"/>
      <c r="F44" s="134"/>
      <c r="G44" s="7"/>
      <c r="H44" s="7"/>
      <c r="I44" s="7"/>
      <c r="J44" s="7"/>
      <c r="K44" s="7"/>
      <c r="L44" s="7"/>
      <c r="M44" s="7"/>
      <c r="N44" s="133"/>
      <c r="O44" s="2"/>
    </row>
    <row r="45" spans="5:15" s="14" customFormat="1" ht="12.75" customHeight="1">
      <c r="E45" s="3"/>
      <c r="F45" s="134"/>
      <c r="G45" s="7"/>
      <c r="H45" s="7"/>
      <c r="I45" s="7"/>
      <c r="J45" s="7"/>
      <c r="K45" s="7"/>
      <c r="L45" s="7"/>
      <c r="M45" s="7"/>
      <c r="N45" s="133"/>
      <c r="O45" s="2"/>
    </row>
    <row r="46" spans="5:15" s="14" customFormat="1" ht="12.75" customHeight="1">
      <c r="E46" s="3"/>
      <c r="F46" s="134"/>
      <c r="G46" s="7"/>
      <c r="H46" s="7"/>
      <c r="I46" s="7"/>
      <c r="J46" s="7"/>
      <c r="K46" s="7"/>
      <c r="L46" s="7"/>
      <c r="M46" s="7"/>
      <c r="N46" s="133"/>
      <c r="O46" s="2"/>
    </row>
    <row r="47" spans="5:15" s="14" customFormat="1" ht="12.75" customHeight="1">
      <c r="E47" s="3"/>
      <c r="F47" s="134"/>
      <c r="G47" s="7"/>
      <c r="H47" s="7"/>
      <c r="I47" s="7"/>
      <c r="J47" s="7"/>
      <c r="K47" s="7"/>
      <c r="L47" s="7"/>
      <c r="M47" s="7"/>
      <c r="N47" s="133"/>
      <c r="O47" s="2"/>
    </row>
  </sheetData>
  <sheetProtection sheet="1"/>
  <mergeCells count="15">
    <mergeCell ref="J35:J36"/>
    <mergeCell ref="H1:I1"/>
    <mergeCell ref="J5:K5"/>
    <mergeCell ref="J33:J34"/>
    <mergeCell ref="A4:K4"/>
    <mergeCell ref="D1:F1"/>
    <mergeCell ref="D5:D6"/>
    <mergeCell ref="M35:M36"/>
    <mergeCell ref="N35:N36"/>
    <mergeCell ref="M33:M34"/>
    <mergeCell ref="K33:K34"/>
    <mergeCell ref="K35:K36"/>
    <mergeCell ref="L33:L34"/>
    <mergeCell ref="N33:N34"/>
    <mergeCell ref="L35:L36"/>
  </mergeCells>
  <hyperlinks>
    <hyperlink ref="A9:D9" location="Pgs3and4ClassroomSiteProj" display="Classroom Site Project 1013 - Other"/>
    <hyperlink ref="A31:D31" location="Pg4InstructionalImprovementProj" display="INSTRUCTIONAL IMPROVEMENT PROJECT"/>
    <hyperlink ref="B36:D36" location="Pg4Lines3and4" display="Dropout Prevention Programs"/>
    <hyperlink ref="B37:D37" location="Pg4Lines3and4" display="Instructional Improvement Programs"/>
  </hyperlinks>
  <printOptions horizontalCentered="1" verticalCentered="1"/>
  <pageMargins left="0.75" right="0.5" top="0.5" bottom="0.5" header="0.5" footer="0.25"/>
  <pageSetup horizontalDpi="300" verticalDpi="300" orientation="landscape" paperSize="5" r:id="rId2"/>
  <headerFooter>
    <oddFooter>&amp;L&amp;"Arial,Bold"Rev. 5/14&amp;C&amp;"Arial,Bold"FY 2015&amp;R&amp;"Arial,Bold"Page 4 of 5</oddFooter>
  </headerFooter>
  <ignoredErrors>
    <ignoredError sqref="G14 I14 K18 K13 K24"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70" t="str">
        <f>Cover!D1</f>
        <v>Camp Verde Unified School District</v>
      </c>
      <c r="E1" s="370"/>
      <c r="F1" s="370"/>
      <c r="G1" s="72"/>
      <c r="H1" s="17"/>
      <c r="I1" s="73" t="s">
        <v>65</v>
      </c>
      <c r="J1" s="355" t="str">
        <f>Cover!M1</f>
        <v>Yavapai</v>
      </c>
      <c r="K1" s="355"/>
      <c r="L1" s="17"/>
      <c r="M1" s="73" t="s">
        <v>103</v>
      </c>
      <c r="N1" s="355" t="str">
        <f>Cover!R1</f>
        <v>138771000</v>
      </c>
      <c r="O1" s="355"/>
      <c r="P1" s="17"/>
    </row>
    <row r="2" spans="1:16" ht="12.75">
      <c r="A2" s="74"/>
      <c r="B2" s="74"/>
      <c r="C2" s="277"/>
      <c r="D2" s="74"/>
      <c r="E2" s="74"/>
      <c r="F2" s="74"/>
      <c r="G2" s="74"/>
      <c r="H2" s="74"/>
      <c r="I2" s="74"/>
      <c r="J2" s="74"/>
      <c r="K2" s="14"/>
      <c r="L2" s="14"/>
      <c r="M2" s="14"/>
      <c r="N2" s="14"/>
      <c r="O2" s="17"/>
      <c r="P2" s="17"/>
    </row>
    <row r="3" spans="1:16" ht="12.75">
      <c r="A3" s="75"/>
      <c r="B3" s="76"/>
      <c r="C3" s="76"/>
      <c r="D3" s="366"/>
      <c r="E3" s="77"/>
      <c r="F3" s="78" t="s">
        <v>158</v>
      </c>
      <c r="G3" s="79"/>
      <c r="H3" s="80"/>
      <c r="I3" s="80"/>
      <c r="J3" s="81" t="s">
        <v>16</v>
      </c>
      <c r="K3" s="1"/>
      <c r="L3" s="1"/>
      <c r="M3" s="82" t="s">
        <v>73</v>
      </c>
      <c r="N3" s="83"/>
      <c r="O3" s="80"/>
      <c r="P3" s="17"/>
    </row>
    <row r="4" spans="1:16" ht="12.75">
      <c r="A4" s="4"/>
      <c r="B4" s="14"/>
      <c r="C4" s="14"/>
      <c r="D4" s="356"/>
      <c r="E4" s="84"/>
      <c r="F4" s="85" t="s">
        <v>156</v>
      </c>
      <c r="G4" s="86"/>
      <c r="H4" s="87"/>
      <c r="I4" s="87" t="s">
        <v>157</v>
      </c>
      <c r="J4" s="87" t="s">
        <v>19</v>
      </c>
      <c r="K4" s="88"/>
      <c r="L4" s="88"/>
      <c r="M4" s="88"/>
      <c r="N4" s="88"/>
      <c r="O4" s="87" t="s">
        <v>75</v>
      </c>
      <c r="P4" s="17"/>
    </row>
    <row r="5" spans="1:16" ht="12.75">
      <c r="A5" s="4" t="s">
        <v>106</v>
      </c>
      <c r="B5" s="14"/>
      <c r="C5" s="14"/>
      <c r="D5" s="14"/>
      <c r="E5" s="84"/>
      <c r="F5" s="309" t="s">
        <v>302</v>
      </c>
      <c r="G5" s="81" t="s">
        <v>74</v>
      </c>
      <c r="H5" s="87" t="s">
        <v>17</v>
      </c>
      <c r="I5" s="87" t="s">
        <v>18</v>
      </c>
      <c r="J5" s="87" t="s">
        <v>22</v>
      </c>
      <c r="K5" s="87" t="s">
        <v>20</v>
      </c>
      <c r="L5" s="87" t="s">
        <v>21</v>
      </c>
      <c r="M5" s="308" t="s">
        <v>304</v>
      </c>
      <c r="N5" s="87" t="s">
        <v>67</v>
      </c>
      <c r="O5" s="87" t="s">
        <v>76</v>
      </c>
      <c r="P5" s="17"/>
    </row>
    <row r="6" spans="1:16" ht="12.75">
      <c r="A6" s="89"/>
      <c r="B6" s="34"/>
      <c r="C6" s="34"/>
      <c r="D6" s="34"/>
      <c r="E6" s="25"/>
      <c r="F6" s="87" t="s">
        <v>66</v>
      </c>
      <c r="G6" s="90" t="s">
        <v>66</v>
      </c>
      <c r="H6" s="90">
        <v>6100</v>
      </c>
      <c r="I6" s="90">
        <v>6200</v>
      </c>
      <c r="J6" s="90">
        <v>6500</v>
      </c>
      <c r="K6" s="90">
        <v>6600</v>
      </c>
      <c r="L6" s="90">
        <v>6800</v>
      </c>
      <c r="M6" s="87">
        <v>2014</v>
      </c>
      <c r="N6" s="87">
        <v>2015</v>
      </c>
      <c r="O6" s="87" t="s">
        <v>77</v>
      </c>
      <c r="P6" s="17"/>
    </row>
    <row r="7" spans="1:16" ht="12.75">
      <c r="A7" s="296" t="s">
        <v>187</v>
      </c>
      <c r="B7" s="279"/>
      <c r="C7" s="279"/>
      <c r="D7" s="279"/>
      <c r="E7" s="205"/>
      <c r="F7" s="207"/>
      <c r="G7" s="208"/>
      <c r="H7" s="136"/>
      <c r="I7" s="136"/>
      <c r="J7" s="136"/>
      <c r="K7" s="136"/>
      <c r="L7" s="138"/>
      <c r="M7" s="207"/>
      <c r="N7" s="207"/>
      <c r="O7" s="207"/>
      <c r="P7" s="17"/>
    </row>
    <row r="8" spans="1:16" ht="12.75">
      <c r="A8" s="91"/>
      <c r="B8" s="14" t="s">
        <v>186</v>
      </c>
      <c r="C8" s="14"/>
      <c r="D8" s="14"/>
      <c r="E8" s="3"/>
      <c r="F8" s="209"/>
      <c r="G8" s="210"/>
      <c r="H8" s="202"/>
      <c r="I8" s="202"/>
      <c r="J8" s="202"/>
      <c r="K8" s="202"/>
      <c r="L8" s="192"/>
      <c r="M8" s="202"/>
      <c r="N8" s="202"/>
      <c r="O8" s="193"/>
      <c r="P8" s="17"/>
    </row>
    <row r="9" spans="1:16" ht="12.75">
      <c r="A9" s="91"/>
      <c r="B9" s="17"/>
      <c r="C9" s="14" t="s">
        <v>24</v>
      </c>
      <c r="D9" s="14"/>
      <c r="E9" s="3">
        <v>1</v>
      </c>
      <c r="F9" s="152">
        <f>'[1]Page 5'!$G$9</f>
        <v>0</v>
      </c>
      <c r="G9" s="206"/>
      <c r="H9" s="109"/>
      <c r="I9" s="109"/>
      <c r="J9" s="109"/>
      <c r="K9" s="109"/>
      <c r="L9" s="189"/>
      <c r="M9" s="109">
        <f>'[1]Page 5'!$N$9</f>
        <v>0</v>
      </c>
      <c r="N9" s="111">
        <f>SUM(H7:L9)</f>
        <v>0</v>
      </c>
      <c r="O9" s="188" t="str">
        <f>IF(M9=0," ",(N9-M9)/M9)</f>
        <v> </v>
      </c>
      <c r="P9" s="2">
        <v>1</v>
      </c>
    </row>
    <row r="10" spans="1:16" ht="12.75">
      <c r="A10" s="91"/>
      <c r="B10" s="17"/>
      <c r="C10" s="14" t="s">
        <v>25</v>
      </c>
      <c r="D10" s="14"/>
      <c r="E10" s="3"/>
      <c r="F10" s="207"/>
      <c r="G10" s="208"/>
      <c r="H10" s="136"/>
      <c r="I10" s="136"/>
      <c r="J10" s="136"/>
      <c r="K10" s="136"/>
      <c r="L10" s="138"/>
      <c r="M10" s="207"/>
      <c r="N10" s="207"/>
      <c r="O10" s="207"/>
      <c r="P10" s="2"/>
    </row>
    <row r="11" spans="1:16" ht="12.75">
      <c r="A11" s="91"/>
      <c r="B11" s="14"/>
      <c r="C11" s="14" t="s">
        <v>180</v>
      </c>
      <c r="D11" s="14"/>
      <c r="E11" s="3">
        <v>2</v>
      </c>
      <c r="F11" s="152">
        <f>'[1]Page 5'!$G$11</f>
        <v>0</v>
      </c>
      <c r="G11" s="206"/>
      <c r="H11" s="109"/>
      <c r="I11" s="109"/>
      <c r="J11" s="109"/>
      <c r="K11" s="109"/>
      <c r="L11" s="189"/>
      <c r="M11" s="109">
        <f>'[1]Page 5'!$N$11</f>
        <v>0</v>
      </c>
      <c r="N11" s="111">
        <f>SUM(H10:L11)</f>
        <v>0</v>
      </c>
      <c r="O11" s="188" t="str">
        <f>IF(M11=0," ",(N11-M11)/M11)</f>
        <v> </v>
      </c>
      <c r="P11" s="2">
        <v>2</v>
      </c>
    </row>
    <row r="12" spans="1:16" ht="12.75">
      <c r="A12" s="91"/>
      <c r="B12" s="14"/>
      <c r="C12" s="14" t="s">
        <v>183</v>
      </c>
      <c r="D12" s="14"/>
      <c r="E12" s="23">
        <v>3</v>
      </c>
      <c r="F12" s="152">
        <f>'[1]Page 5'!$G$12</f>
        <v>0</v>
      </c>
      <c r="G12" s="142"/>
      <c r="H12" s="143"/>
      <c r="I12" s="143"/>
      <c r="J12" s="143"/>
      <c r="K12" s="143"/>
      <c r="L12" s="143"/>
      <c r="M12" s="37">
        <f>'[1]Page 5'!$N$12</f>
        <v>0</v>
      </c>
      <c r="N12" s="6">
        <f aca="true" t="shared" si="0" ref="N12:N17">SUM(H12:L12)</f>
        <v>0</v>
      </c>
      <c r="O12" s="187" t="str">
        <f aca="true" t="shared" si="1" ref="O12:O18">IF(M12=0," ",(N12-M12)/M12)</f>
        <v> </v>
      </c>
      <c r="P12" s="94">
        <v>3</v>
      </c>
    </row>
    <row r="13" spans="1:16" ht="12.75">
      <c r="A13" s="91"/>
      <c r="B13" s="14"/>
      <c r="C13" s="14" t="s">
        <v>181</v>
      </c>
      <c r="D13" s="14"/>
      <c r="E13" s="23">
        <v>4</v>
      </c>
      <c r="F13" s="151">
        <f>'[1]Page 5'!$G$13</f>
        <v>0</v>
      </c>
      <c r="G13" s="142"/>
      <c r="H13" s="143"/>
      <c r="I13" s="143"/>
      <c r="J13" s="143"/>
      <c r="K13" s="143"/>
      <c r="L13" s="143"/>
      <c r="M13" s="143">
        <f>'[1]Page 5'!$N$13</f>
        <v>0</v>
      </c>
      <c r="N13" s="22">
        <f t="shared" si="0"/>
        <v>0</v>
      </c>
      <c r="O13" s="144" t="str">
        <f t="shared" si="1"/>
        <v> </v>
      </c>
      <c r="P13" s="94">
        <v>4</v>
      </c>
    </row>
    <row r="14" spans="1:16" ht="12.75">
      <c r="A14" s="91"/>
      <c r="B14" s="14"/>
      <c r="C14" s="14" t="s">
        <v>182</v>
      </c>
      <c r="D14" s="14"/>
      <c r="E14" s="23">
        <v>5</v>
      </c>
      <c r="F14" s="151">
        <f>'[1]Page 5'!$G$14</f>
        <v>0</v>
      </c>
      <c r="G14" s="142"/>
      <c r="H14" s="143"/>
      <c r="I14" s="143"/>
      <c r="J14" s="143"/>
      <c r="K14" s="143"/>
      <c r="L14" s="143"/>
      <c r="M14" s="143">
        <f>'[1]Page 5'!$N$14</f>
        <v>0</v>
      </c>
      <c r="N14" s="22">
        <f t="shared" si="0"/>
        <v>0</v>
      </c>
      <c r="O14" s="144" t="str">
        <f t="shared" si="1"/>
        <v> </v>
      </c>
      <c r="P14" s="94">
        <v>5</v>
      </c>
    </row>
    <row r="15" spans="1:16" ht="12.75">
      <c r="A15" s="91"/>
      <c r="B15" s="14"/>
      <c r="C15" s="14" t="s">
        <v>184</v>
      </c>
      <c r="D15" s="14"/>
      <c r="E15" s="23">
        <v>6</v>
      </c>
      <c r="F15" s="151">
        <f>'[1]Page 5'!$G$15</f>
        <v>0</v>
      </c>
      <c r="G15" s="142"/>
      <c r="H15" s="143"/>
      <c r="I15" s="143"/>
      <c r="J15" s="143"/>
      <c r="K15" s="143"/>
      <c r="L15" s="143"/>
      <c r="M15" s="143">
        <f>'[1]Page 5'!$N$15</f>
        <v>0</v>
      </c>
      <c r="N15" s="22">
        <f t="shared" si="0"/>
        <v>0</v>
      </c>
      <c r="O15" s="144" t="str">
        <f t="shared" si="1"/>
        <v> </v>
      </c>
      <c r="P15" s="94">
        <v>6</v>
      </c>
    </row>
    <row r="16" spans="1:16" ht="12.75">
      <c r="A16" s="91"/>
      <c r="B16" s="14"/>
      <c r="C16" s="14" t="s">
        <v>185</v>
      </c>
      <c r="D16" s="14"/>
      <c r="E16" s="23">
        <v>7</v>
      </c>
      <c r="F16" s="151">
        <f>'[1]Page 5'!$G$16</f>
        <v>0</v>
      </c>
      <c r="G16" s="95"/>
      <c r="H16" s="28"/>
      <c r="I16" s="28"/>
      <c r="J16" s="28"/>
      <c r="K16" s="28"/>
      <c r="L16" s="28"/>
      <c r="M16" s="143">
        <f>'[1]Page 5'!$N$16</f>
        <v>0</v>
      </c>
      <c r="N16" s="22">
        <f t="shared" si="0"/>
        <v>0</v>
      </c>
      <c r="O16" s="144" t="str">
        <f t="shared" si="1"/>
        <v> </v>
      </c>
      <c r="P16" s="94">
        <v>7</v>
      </c>
    </row>
    <row r="17" spans="1:16" ht="12.75">
      <c r="A17" s="91"/>
      <c r="B17" s="14"/>
      <c r="C17" s="14" t="s">
        <v>188</v>
      </c>
      <c r="D17" s="14"/>
      <c r="E17" s="23">
        <v>8</v>
      </c>
      <c r="F17" s="151">
        <f>'[1]Page 5'!$G$17</f>
        <v>0</v>
      </c>
      <c r="G17" s="96"/>
      <c r="H17" s="27"/>
      <c r="I17" s="27"/>
      <c r="J17" s="27"/>
      <c r="K17" s="27"/>
      <c r="L17" s="27"/>
      <c r="M17" s="143">
        <f>'[1]Page 5'!$N$17</f>
        <v>0</v>
      </c>
      <c r="N17" s="22">
        <f t="shared" si="0"/>
        <v>0</v>
      </c>
      <c r="O17" s="144" t="str">
        <f t="shared" si="1"/>
        <v> </v>
      </c>
      <c r="P17" s="94">
        <v>8</v>
      </c>
    </row>
    <row r="18" spans="1:16" ht="12.75">
      <c r="A18" s="97"/>
      <c r="B18" s="145" t="s">
        <v>194</v>
      </c>
      <c r="C18" s="34"/>
      <c r="D18" s="34"/>
      <c r="E18" s="25">
        <v>9</v>
      </c>
      <c r="F18" s="211">
        <f>SUM(F8:F17)</f>
        <v>0</v>
      </c>
      <c r="G18" s="98">
        <f aca="true" t="shared" si="2" ref="G18:L18">SUM(G7:G17)</f>
        <v>0</v>
      </c>
      <c r="H18" s="6">
        <f t="shared" si="2"/>
        <v>0</v>
      </c>
      <c r="I18" s="6">
        <f t="shared" si="2"/>
        <v>0</v>
      </c>
      <c r="J18" s="6">
        <f t="shared" si="2"/>
        <v>0</v>
      </c>
      <c r="K18" s="6">
        <f t="shared" si="2"/>
        <v>0</v>
      </c>
      <c r="L18" s="6">
        <f t="shared" si="2"/>
        <v>0</v>
      </c>
      <c r="M18" s="185">
        <f>SUM(M8:M17)</f>
        <v>0</v>
      </c>
      <c r="N18" s="185">
        <f>SUM(N8:N17)</f>
        <v>0</v>
      </c>
      <c r="O18" s="186" t="str">
        <f t="shared" si="1"/>
        <v> </v>
      </c>
      <c r="P18" s="2">
        <v>9</v>
      </c>
    </row>
    <row r="19" spans="1:16" ht="12.75">
      <c r="A19" s="91"/>
      <c r="B19" s="146" t="s">
        <v>191</v>
      </c>
      <c r="C19" s="14"/>
      <c r="D19" s="14"/>
      <c r="E19" s="3"/>
      <c r="F19" s="207"/>
      <c r="G19" s="208"/>
      <c r="H19" s="136"/>
      <c r="I19" s="136"/>
      <c r="J19" s="136"/>
      <c r="K19" s="136"/>
      <c r="L19" s="138"/>
      <c r="M19" s="207"/>
      <c r="N19" s="213"/>
      <c r="O19" s="207"/>
      <c r="P19" s="2"/>
    </row>
    <row r="20" spans="1:16" ht="12.75">
      <c r="A20" s="91"/>
      <c r="B20" s="17"/>
      <c r="C20" s="14" t="s">
        <v>25</v>
      </c>
      <c r="D20" s="14"/>
      <c r="E20" s="3"/>
      <c r="F20" s="209"/>
      <c r="G20" s="210"/>
      <c r="H20" s="202"/>
      <c r="I20" s="202"/>
      <c r="J20" s="202"/>
      <c r="K20" s="202"/>
      <c r="L20" s="192"/>
      <c r="M20" s="202"/>
      <c r="N20" s="192"/>
      <c r="O20" s="203"/>
      <c r="P20" s="2"/>
    </row>
    <row r="21" spans="1:16" ht="12.75">
      <c r="A21" s="91"/>
      <c r="B21" s="17"/>
      <c r="C21" s="14" t="s">
        <v>189</v>
      </c>
      <c r="D21" s="14"/>
      <c r="E21" s="3">
        <v>10</v>
      </c>
      <c r="F21" s="152">
        <f>'[1]Page 5'!$G$21</f>
        <v>0</v>
      </c>
      <c r="G21" s="206"/>
      <c r="H21" s="109"/>
      <c r="I21" s="109"/>
      <c r="J21" s="109"/>
      <c r="K21" s="109"/>
      <c r="L21" s="189"/>
      <c r="M21" s="109">
        <f>'[1]Page 5'!$N$21</f>
        <v>0</v>
      </c>
      <c r="N21" s="190">
        <f>SUM(H19:L21)</f>
        <v>0</v>
      </c>
      <c r="O21" s="204" t="str">
        <f>IF(M21=0," ",(N21-M21)/M21)</f>
        <v> </v>
      </c>
      <c r="P21" s="2">
        <v>10</v>
      </c>
    </row>
    <row r="22" spans="1:16" ht="12.75">
      <c r="A22" s="147" t="s">
        <v>195</v>
      </c>
      <c r="B22" s="99"/>
      <c r="C22" s="99"/>
      <c r="D22" s="99"/>
      <c r="E22" s="24">
        <v>11</v>
      </c>
      <c r="F22" s="98">
        <f aca="true" t="shared" si="3" ref="F22:L22">SUM(F18:F21)</f>
        <v>0</v>
      </c>
      <c r="G22" s="98">
        <f t="shared" si="3"/>
        <v>0</v>
      </c>
      <c r="H22" s="22">
        <f t="shared" si="3"/>
        <v>0</v>
      </c>
      <c r="I22" s="22">
        <f t="shared" si="3"/>
        <v>0</v>
      </c>
      <c r="J22" s="22">
        <f t="shared" si="3"/>
        <v>0</v>
      </c>
      <c r="K22" s="22">
        <f t="shared" si="3"/>
        <v>0</v>
      </c>
      <c r="L22" s="22">
        <f t="shared" si="3"/>
        <v>0</v>
      </c>
      <c r="M22" s="6">
        <f>'[1]Page 5'!$N$22</f>
        <v>0</v>
      </c>
      <c r="N22" s="6">
        <f>SUM(N18:N21)</f>
        <v>0</v>
      </c>
      <c r="O22" s="212" t="str">
        <f>IF(M22=0," ",(N22-M22)/M22)</f>
        <v> </v>
      </c>
      <c r="P22" s="94">
        <v>11</v>
      </c>
    </row>
    <row r="23" spans="1:16" ht="12.75">
      <c r="A23" s="17"/>
      <c r="B23" s="17"/>
      <c r="C23" s="17"/>
      <c r="D23" s="17"/>
      <c r="E23" s="17"/>
      <c r="F23" s="17"/>
      <c r="G23" s="17"/>
      <c r="H23" s="17"/>
      <c r="I23" s="17"/>
      <c r="J23" s="17"/>
      <c r="K23" s="17"/>
      <c r="L23" s="17"/>
      <c r="M23" s="17"/>
      <c r="N23" s="17"/>
      <c r="O23" s="17"/>
      <c r="P23" s="17"/>
    </row>
    <row r="24" spans="1:16" ht="12.75">
      <c r="A24" s="75"/>
      <c r="B24" s="76"/>
      <c r="C24" s="76"/>
      <c r="D24" s="76"/>
      <c r="E24" s="77"/>
      <c r="F24" s="78" t="s">
        <v>158</v>
      </c>
      <c r="G24" s="79"/>
      <c r="H24" s="80"/>
      <c r="I24" s="80"/>
      <c r="J24" s="81" t="s">
        <v>16</v>
      </c>
      <c r="K24" s="1"/>
      <c r="L24" s="1"/>
      <c r="M24" s="82" t="s">
        <v>73</v>
      </c>
      <c r="N24" s="83"/>
      <c r="O24" s="80"/>
      <c r="P24" s="17"/>
    </row>
    <row r="25" spans="1:16" ht="12.75">
      <c r="A25" s="4"/>
      <c r="B25" s="14"/>
      <c r="C25" s="14"/>
      <c r="D25" s="14"/>
      <c r="E25" s="84"/>
      <c r="F25" s="85" t="s">
        <v>156</v>
      </c>
      <c r="G25" s="86"/>
      <c r="H25" s="87"/>
      <c r="I25" s="87" t="s">
        <v>157</v>
      </c>
      <c r="J25" s="87" t="s">
        <v>19</v>
      </c>
      <c r="K25" s="88"/>
      <c r="L25" s="88"/>
      <c r="M25" s="88"/>
      <c r="N25" s="88"/>
      <c r="O25" s="87" t="s">
        <v>75</v>
      </c>
      <c r="P25" s="17"/>
    </row>
    <row r="26" spans="1:16" ht="12.75">
      <c r="A26" s="4" t="s">
        <v>106</v>
      </c>
      <c r="B26" s="14"/>
      <c r="C26" s="14"/>
      <c r="D26" s="14"/>
      <c r="E26" s="84"/>
      <c r="F26" s="309" t="s">
        <v>302</v>
      </c>
      <c r="G26" s="81" t="s">
        <v>74</v>
      </c>
      <c r="H26" s="87" t="s">
        <v>17</v>
      </c>
      <c r="I26" s="87" t="s">
        <v>18</v>
      </c>
      <c r="J26" s="87" t="s">
        <v>22</v>
      </c>
      <c r="K26" s="87" t="s">
        <v>20</v>
      </c>
      <c r="L26" s="87" t="s">
        <v>21</v>
      </c>
      <c r="M26" s="308" t="s">
        <v>304</v>
      </c>
      <c r="N26" s="87" t="s">
        <v>67</v>
      </c>
      <c r="O26" s="87" t="s">
        <v>76</v>
      </c>
      <c r="P26" s="17"/>
    </row>
    <row r="27" spans="1:16" ht="12.75">
      <c r="A27" s="89"/>
      <c r="B27" s="34"/>
      <c r="C27" s="34"/>
      <c r="D27" s="34"/>
      <c r="E27" s="25"/>
      <c r="F27" s="87" t="s">
        <v>66</v>
      </c>
      <c r="G27" s="90" t="s">
        <v>66</v>
      </c>
      <c r="H27" s="90">
        <v>6100</v>
      </c>
      <c r="I27" s="90">
        <v>6200</v>
      </c>
      <c r="J27" s="90">
        <v>6500</v>
      </c>
      <c r="K27" s="90">
        <v>6600</v>
      </c>
      <c r="L27" s="90">
        <v>6800</v>
      </c>
      <c r="M27" s="87">
        <v>2014</v>
      </c>
      <c r="N27" s="87">
        <v>2015</v>
      </c>
      <c r="O27" s="87" t="s">
        <v>77</v>
      </c>
      <c r="P27" s="17"/>
    </row>
    <row r="28" spans="1:16" ht="12.75">
      <c r="A28" s="296" t="s">
        <v>161</v>
      </c>
      <c r="B28" s="279"/>
      <c r="C28" s="279"/>
      <c r="D28" s="279"/>
      <c r="E28" s="205"/>
      <c r="F28" s="207"/>
      <c r="G28" s="208"/>
      <c r="H28" s="136"/>
      <c r="I28" s="136"/>
      <c r="J28" s="136"/>
      <c r="K28" s="136"/>
      <c r="L28" s="138"/>
      <c r="M28" s="207"/>
      <c r="N28" s="207"/>
      <c r="O28" s="207"/>
      <c r="P28" s="17"/>
    </row>
    <row r="29" spans="1:16" ht="12.75">
      <c r="A29" s="91"/>
      <c r="B29" s="14" t="s">
        <v>162</v>
      </c>
      <c r="C29" s="14"/>
      <c r="D29" s="14"/>
      <c r="E29" s="3"/>
      <c r="F29" s="209"/>
      <c r="G29" s="210"/>
      <c r="H29" s="202"/>
      <c r="I29" s="202"/>
      <c r="J29" s="202"/>
      <c r="K29" s="202"/>
      <c r="L29" s="192"/>
      <c r="M29" s="202"/>
      <c r="N29" s="202"/>
      <c r="O29" s="193"/>
      <c r="P29" s="17"/>
    </row>
    <row r="30" spans="1:16" ht="12.75">
      <c r="A30" s="91"/>
      <c r="B30" s="17"/>
      <c r="C30" s="14" t="s">
        <v>24</v>
      </c>
      <c r="D30" s="14"/>
      <c r="E30" s="3">
        <v>12</v>
      </c>
      <c r="F30" s="152">
        <f>'[1]Page 5'!$G$30</f>
        <v>0</v>
      </c>
      <c r="G30" s="206"/>
      <c r="H30" s="109"/>
      <c r="I30" s="109"/>
      <c r="J30" s="109"/>
      <c r="K30" s="109"/>
      <c r="L30" s="189"/>
      <c r="M30" s="109">
        <f>'[1]Page 5'!$N$30</f>
        <v>0</v>
      </c>
      <c r="N30" s="111">
        <f>SUM(H28:L30)</f>
        <v>0</v>
      </c>
      <c r="O30" s="188" t="str">
        <f>IF(M30=0," ",(N30-M30)/M30)</f>
        <v> </v>
      </c>
      <c r="P30" s="2">
        <v>12</v>
      </c>
    </row>
    <row r="31" spans="1:16" ht="12.75">
      <c r="A31" s="91"/>
      <c r="B31" s="17"/>
      <c r="C31" s="14" t="s">
        <v>25</v>
      </c>
      <c r="D31" s="14"/>
      <c r="E31" s="3"/>
      <c r="F31" s="207"/>
      <c r="G31" s="208"/>
      <c r="H31" s="136"/>
      <c r="I31" s="136"/>
      <c r="J31" s="136"/>
      <c r="K31" s="136"/>
      <c r="L31" s="138"/>
      <c r="M31" s="207"/>
      <c r="N31" s="207"/>
      <c r="O31" s="207"/>
      <c r="P31" s="17"/>
    </row>
    <row r="32" spans="1:16" ht="12.75">
      <c r="A32" s="91"/>
      <c r="B32" s="17"/>
      <c r="C32" s="14" t="s">
        <v>180</v>
      </c>
      <c r="D32" s="14"/>
      <c r="E32" s="3">
        <v>13</v>
      </c>
      <c r="F32" s="152">
        <f>'[1]Page 5'!$G$32</f>
        <v>0</v>
      </c>
      <c r="G32" s="206"/>
      <c r="H32" s="109"/>
      <c r="I32" s="109"/>
      <c r="J32" s="109"/>
      <c r="K32" s="109"/>
      <c r="L32" s="189"/>
      <c r="M32" s="109">
        <f>'[1]Page 5'!$N$32</f>
        <v>0</v>
      </c>
      <c r="N32" s="111">
        <f>SUM(H31:L32)</f>
        <v>0</v>
      </c>
      <c r="O32" s="188" t="str">
        <f>IF(M32=0," ",(N32-M32)/M32)</f>
        <v> </v>
      </c>
      <c r="P32" s="2">
        <v>13</v>
      </c>
    </row>
    <row r="33" spans="1:16" ht="12.75">
      <c r="A33" s="91"/>
      <c r="B33" s="17"/>
      <c r="C33" s="14" t="s">
        <v>183</v>
      </c>
      <c r="D33" s="14"/>
      <c r="E33" s="23">
        <v>14</v>
      </c>
      <c r="F33" s="152">
        <f>'[1]Page 5'!$G$33</f>
        <v>0</v>
      </c>
      <c r="G33" s="142"/>
      <c r="H33" s="143"/>
      <c r="I33" s="143"/>
      <c r="J33" s="143"/>
      <c r="K33" s="143"/>
      <c r="L33" s="143"/>
      <c r="M33" s="37">
        <f>'[1]Page 5'!$N$33</f>
        <v>0</v>
      </c>
      <c r="N33" s="6">
        <f aca="true" t="shared" si="4" ref="N33:N38">SUM(H33:L33)</f>
        <v>0</v>
      </c>
      <c r="O33" s="187" t="str">
        <f aca="true" t="shared" si="5" ref="O33:O39">IF(M33=0," ",(N33-M33)/M33)</f>
        <v> </v>
      </c>
      <c r="P33" s="94">
        <v>14</v>
      </c>
    </row>
    <row r="34" spans="1:16" ht="12.75">
      <c r="A34" s="91"/>
      <c r="B34" s="17"/>
      <c r="C34" s="14" t="s">
        <v>181</v>
      </c>
      <c r="D34" s="14"/>
      <c r="E34" s="23">
        <v>15</v>
      </c>
      <c r="F34" s="152">
        <f>'[1]Page 5'!$G$34</f>
        <v>0</v>
      </c>
      <c r="G34" s="93"/>
      <c r="H34" s="37"/>
      <c r="I34" s="37"/>
      <c r="J34" s="37"/>
      <c r="K34" s="37"/>
      <c r="L34" s="37"/>
      <c r="M34" s="143">
        <f>'[1]Page 5'!$N$34</f>
        <v>0</v>
      </c>
      <c r="N34" s="22">
        <f t="shared" si="4"/>
        <v>0</v>
      </c>
      <c r="O34" s="144" t="str">
        <f t="shared" si="5"/>
        <v> </v>
      </c>
      <c r="P34" s="94">
        <v>15</v>
      </c>
    </row>
    <row r="35" spans="1:16" ht="12.75">
      <c r="A35" s="91"/>
      <c r="B35" s="17"/>
      <c r="C35" s="14" t="s">
        <v>182</v>
      </c>
      <c r="D35" s="14"/>
      <c r="E35" s="23">
        <v>16</v>
      </c>
      <c r="F35" s="152">
        <f>'[1]Page 5'!$G$35</f>
        <v>0</v>
      </c>
      <c r="G35" s="93"/>
      <c r="H35" s="37"/>
      <c r="I35" s="37"/>
      <c r="J35" s="37"/>
      <c r="K35" s="37"/>
      <c r="L35" s="37"/>
      <c r="M35" s="143">
        <f>'[1]Page 5'!$N$35</f>
        <v>0</v>
      </c>
      <c r="N35" s="22">
        <f t="shared" si="4"/>
        <v>0</v>
      </c>
      <c r="O35" s="144" t="str">
        <f t="shared" si="5"/>
        <v> </v>
      </c>
      <c r="P35" s="94">
        <v>16</v>
      </c>
    </row>
    <row r="36" spans="1:16" ht="12.75">
      <c r="A36" s="91"/>
      <c r="B36" s="17"/>
      <c r="C36" s="14" t="s">
        <v>184</v>
      </c>
      <c r="D36" s="14"/>
      <c r="E36" s="23">
        <v>17</v>
      </c>
      <c r="F36" s="152">
        <f>'[1]Page 5'!$G$36</f>
        <v>0</v>
      </c>
      <c r="G36" s="93"/>
      <c r="H36" s="37"/>
      <c r="I36" s="37"/>
      <c r="J36" s="37"/>
      <c r="K36" s="37"/>
      <c r="L36" s="37"/>
      <c r="M36" s="143">
        <f>'[1]Page 5'!$N$36</f>
        <v>0</v>
      </c>
      <c r="N36" s="22">
        <f t="shared" si="4"/>
        <v>0</v>
      </c>
      <c r="O36" s="144" t="str">
        <f t="shared" si="5"/>
        <v> </v>
      </c>
      <c r="P36" s="94">
        <v>17</v>
      </c>
    </row>
    <row r="37" spans="1:16" ht="12.75">
      <c r="A37" s="91"/>
      <c r="B37" s="17"/>
      <c r="C37" s="14" t="s">
        <v>185</v>
      </c>
      <c r="D37" s="14"/>
      <c r="E37" s="23">
        <v>18</v>
      </c>
      <c r="F37" s="151">
        <f>'[1]Page 5'!$G$37</f>
        <v>0</v>
      </c>
      <c r="G37" s="95"/>
      <c r="H37" s="28"/>
      <c r="I37" s="28"/>
      <c r="J37" s="28"/>
      <c r="K37" s="28"/>
      <c r="L37" s="28"/>
      <c r="M37" s="143">
        <f>'[1]Page 5'!$N$37</f>
        <v>0</v>
      </c>
      <c r="N37" s="22">
        <f t="shared" si="4"/>
        <v>0</v>
      </c>
      <c r="O37" s="144" t="str">
        <f t="shared" si="5"/>
        <v> </v>
      </c>
      <c r="P37" s="94">
        <v>18</v>
      </c>
    </row>
    <row r="38" spans="1:16" ht="12.75">
      <c r="A38" s="91"/>
      <c r="B38" s="17"/>
      <c r="C38" s="14" t="s">
        <v>188</v>
      </c>
      <c r="D38" s="14"/>
      <c r="E38" s="23">
        <v>19</v>
      </c>
      <c r="F38" s="152">
        <f>'[1]Page 5'!$G$38</f>
        <v>0</v>
      </c>
      <c r="G38" s="96"/>
      <c r="H38" s="27"/>
      <c r="I38" s="27"/>
      <c r="J38" s="27"/>
      <c r="K38" s="27"/>
      <c r="L38" s="27"/>
      <c r="M38" s="143">
        <f>'[1]Page 5'!$N$38</f>
        <v>0</v>
      </c>
      <c r="N38" s="22">
        <f t="shared" si="4"/>
        <v>0</v>
      </c>
      <c r="O38" s="144" t="str">
        <f t="shared" si="5"/>
        <v> </v>
      </c>
      <c r="P38" s="94">
        <v>19</v>
      </c>
    </row>
    <row r="39" spans="1:16" ht="12.75">
      <c r="A39" s="97"/>
      <c r="B39" s="145" t="s">
        <v>196</v>
      </c>
      <c r="C39" s="34"/>
      <c r="D39" s="34"/>
      <c r="E39" s="25">
        <v>20</v>
      </c>
      <c r="F39" s="209">
        <f>SUM(F29:F38)</f>
        <v>0</v>
      </c>
      <c r="G39" s="98">
        <f aca="true" t="shared" si="6" ref="G39:L39">SUM(G28:G38)</f>
        <v>0</v>
      </c>
      <c r="H39" s="6">
        <f t="shared" si="6"/>
        <v>0</v>
      </c>
      <c r="I39" s="6">
        <f t="shared" si="6"/>
        <v>0</v>
      </c>
      <c r="J39" s="6">
        <f t="shared" si="6"/>
        <v>0</v>
      </c>
      <c r="K39" s="6">
        <f t="shared" si="6"/>
        <v>0</v>
      </c>
      <c r="L39" s="6">
        <f t="shared" si="6"/>
        <v>0</v>
      </c>
      <c r="M39" s="185">
        <f>SUM(M29:M38)</f>
        <v>0</v>
      </c>
      <c r="N39" s="185">
        <f>SUM(N29:N38)</f>
        <v>0</v>
      </c>
      <c r="O39" s="186" t="str">
        <f t="shared" si="5"/>
        <v> </v>
      </c>
      <c r="P39" s="2">
        <v>20</v>
      </c>
    </row>
    <row r="40" spans="1:16" ht="12.75">
      <c r="A40" s="91"/>
      <c r="B40" s="146" t="s">
        <v>192</v>
      </c>
      <c r="C40" s="14"/>
      <c r="D40" s="14"/>
      <c r="E40" s="3"/>
      <c r="F40" s="207"/>
      <c r="G40" s="208"/>
      <c r="H40" s="136"/>
      <c r="I40" s="136"/>
      <c r="J40" s="136"/>
      <c r="K40" s="136"/>
      <c r="L40" s="138"/>
      <c r="M40" s="207"/>
      <c r="N40" s="207"/>
      <c r="O40" s="207"/>
      <c r="P40" s="2"/>
    </row>
    <row r="41" spans="1:16" ht="12.75">
      <c r="A41" s="91"/>
      <c r="B41" s="17"/>
      <c r="C41" s="14" t="s">
        <v>25</v>
      </c>
      <c r="D41" s="14"/>
      <c r="E41" s="3"/>
      <c r="F41" s="209"/>
      <c r="G41" s="210"/>
      <c r="H41" s="202"/>
      <c r="I41" s="202"/>
      <c r="J41" s="202"/>
      <c r="K41" s="202"/>
      <c r="L41" s="192"/>
      <c r="M41" s="202"/>
      <c r="N41" s="202"/>
      <c r="O41" s="203"/>
      <c r="P41" s="2"/>
    </row>
    <row r="42" spans="1:16" ht="12.75">
      <c r="A42" s="91"/>
      <c r="B42" s="17"/>
      <c r="C42" s="14" t="s">
        <v>189</v>
      </c>
      <c r="D42" s="14"/>
      <c r="E42" s="3">
        <v>21</v>
      </c>
      <c r="F42" s="152">
        <f>'[1]Page 5'!$G$42</f>
        <v>0</v>
      </c>
      <c r="G42" s="206"/>
      <c r="H42" s="109"/>
      <c r="I42" s="109"/>
      <c r="J42" s="109"/>
      <c r="K42" s="109"/>
      <c r="L42" s="189"/>
      <c r="M42" s="109">
        <f>'[1]Page 5'!$N$42</f>
        <v>0</v>
      </c>
      <c r="N42" s="111">
        <f>SUM(H40:L42)</f>
        <v>0</v>
      </c>
      <c r="O42" s="204" t="str">
        <f>IF(M42=0," ",(N42-M42)/M42)</f>
        <v> </v>
      </c>
      <c r="P42" s="2">
        <v>21</v>
      </c>
    </row>
    <row r="43" spans="1:16" ht="12.75">
      <c r="A43" s="147" t="s">
        <v>197</v>
      </c>
      <c r="B43" s="99"/>
      <c r="C43" s="99"/>
      <c r="D43" s="99"/>
      <c r="E43" s="24">
        <v>22</v>
      </c>
      <c r="F43" s="92">
        <f>SUM(F39:F42)</f>
        <v>0</v>
      </c>
      <c r="G43" s="98">
        <f aca="true" t="shared" si="7" ref="G43:L43">SUM(G39:G42)</f>
        <v>0</v>
      </c>
      <c r="H43" s="22">
        <f t="shared" si="7"/>
        <v>0</v>
      </c>
      <c r="I43" s="22">
        <f t="shared" si="7"/>
        <v>0</v>
      </c>
      <c r="J43" s="22">
        <f t="shared" si="7"/>
        <v>0</v>
      </c>
      <c r="K43" s="22">
        <f t="shared" si="7"/>
        <v>0</v>
      </c>
      <c r="L43" s="22">
        <f t="shared" si="7"/>
        <v>0</v>
      </c>
      <c r="M43" s="6">
        <f>SUM(M39:M42)</f>
        <v>0</v>
      </c>
      <c r="N43" s="6">
        <f>SUM(N39:N42)</f>
        <v>0</v>
      </c>
      <c r="O43" s="212" t="str">
        <f>IF(M43=0," ",(N43-M43)/M43)</f>
        <v> </v>
      </c>
      <c r="P43" s="94">
        <v>22</v>
      </c>
    </row>
  </sheetData>
  <sheetProtection sheet="1"/>
  <mergeCells count="4">
    <mergeCell ref="D1:F1"/>
    <mergeCell ref="J1:K1"/>
    <mergeCell ref="N1:O1"/>
    <mergeCell ref="D3:D4"/>
  </mergeCells>
  <hyperlinks>
    <hyperlink ref="B7:D7" r:id="rId1" display="Structured English Immersion Project - 1071"/>
    <hyperlink ref="A7:D7" location="Pg5StructuredEnglishImmersionProj" display="Structured English Immersion Project - 1071"/>
    <hyperlink ref="A28:D28" location="Pg5CompensatoryInstructionProj" display="Compensatory Instruction Project - 1072"/>
  </hyperlinks>
  <printOptions horizontalCentered="1" verticalCentered="1"/>
  <pageMargins left="0.75" right="0.5" top="0.5" bottom="0.5" header="0.5" footer="0.25"/>
  <pageSetup horizontalDpi="600" verticalDpi="600" orientation="landscape" paperSize="5" r:id="rId3"/>
  <headerFooter>
    <oddFooter>&amp;L&amp;"Arial,Bold"Rev. 5/14&amp;C&amp;"Arial,Bold"FY 2015&amp;R&amp;"Arial,Bold"Page 5 of 5</oddFooter>
  </headerFooter>
  <drawing r:id="rId2"/>
</worksheet>
</file>

<file path=xl/worksheets/sheet7.xml><?xml version="1.0" encoding="utf-8"?>
<worksheet xmlns="http://schemas.openxmlformats.org/spreadsheetml/2006/main" xmlns:r="http://schemas.openxmlformats.org/officeDocument/2006/relationships">
  <dimension ref="A1:M54"/>
  <sheetViews>
    <sheetView showGridLines="0" tabSelected="1" zoomScale="80" zoomScaleNormal="80" workbookViewId="0" topLeftCell="A1">
      <selection activeCell="D46" sqref="D46"/>
    </sheetView>
  </sheetViews>
  <sheetFormatPr defaultColWidth="9.140625" defaultRowHeight="12.75"/>
  <cols>
    <col min="1" max="2" width="1.57421875" style="217" customWidth="1"/>
    <col min="3" max="3" width="42.140625" style="217" customWidth="1"/>
    <col min="4" max="5" width="12.7109375" style="217" customWidth="1"/>
    <col min="6" max="6" width="9.7109375" style="217" customWidth="1"/>
    <col min="7" max="7" width="4.7109375" style="217" customWidth="1"/>
    <col min="8" max="8" width="27.28125" style="217" customWidth="1"/>
    <col min="9" max="9" width="5.28125" style="217" customWidth="1"/>
    <col min="10" max="12" width="12.7109375" style="217" customWidth="1"/>
    <col min="13" max="13" width="9.7109375" style="217" customWidth="1"/>
    <col min="14" max="16384" width="9.140625" style="217" customWidth="1"/>
  </cols>
  <sheetData>
    <row r="1" spans="1:12" ht="23.25" customHeight="1">
      <c r="A1" s="373" t="s">
        <v>293</v>
      </c>
      <c r="B1" s="373"/>
      <c r="C1" s="373"/>
      <c r="D1" s="373"/>
      <c r="E1" s="373"/>
      <c r="F1" s="373"/>
      <c r="G1" s="373"/>
      <c r="H1" s="373"/>
      <c r="I1" s="373"/>
      <c r="J1" s="373"/>
      <c r="K1" s="218" t="s">
        <v>219</v>
      </c>
      <c r="L1" s="219" t="str">
        <f>[0]!CTD</f>
        <v>138771000</v>
      </c>
    </row>
    <row r="2" ht="3.75" customHeight="1"/>
    <row r="3" spans="1:13" ht="12" customHeight="1">
      <c r="A3" s="237" t="s">
        <v>240</v>
      </c>
      <c r="B3" s="238"/>
      <c r="C3" s="238"/>
      <c r="D3" s="388" t="s">
        <v>73</v>
      </c>
      <c r="E3" s="389"/>
      <c r="F3" s="231" t="s">
        <v>75</v>
      </c>
      <c r="H3" s="374" t="str">
        <f>"The budget of "&amp;IF(Cover!$D$3=0,Cover!$D$1,Cover!$D$1&amp;" (d.b.a. "&amp;Cover!$D$3&amp;")")&amp;" for fiscal year 2015 was officially proposed by the Governing Board on "&amp;TEXT(Cover!$F$24,"mmmm dd, yyyy")&amp;". The complete budget may be reviewed by contacting "&amp;Cover!$O$25&amp;" at "&amp;Cover!$M$26&amp;" or "&amp;Cover!$P$26&amp;"."</f>
        <v>The budget of Camp Verde Unified School District (d.b.a. South Verde Technology Magnet) for fiscal year 2015 was officially proposed by the Governing Board on June 10, 2014. The complete budget may be reviewed by contacting Steve King at (928) 567-8076 or sking@campverdeschools.org.</v>
      </c>
      <c r="I3" s="375"/>
      <c r="J3" s="375"/>
      <c r="K3" s="375"/>
      <c r="L3" s="375"/>
      <c r="M3" s="376"/>
    </row>
    <row r="4" spans="1:13" ht="12" customHeight="1">
      <c r="A4" s="239"/>
      <c r="D4" s="231" t="s">
        <v>304</v>
      </c>
      <c r="E4" s="231" t="s">
        <v>67</v>
      </c>
      <c r="F4" s="240" t="s">
        <v>76</v>
      </c>
      <c r="H4" s="377"/>
      <c r="I4" s="378"/>
      <c r="J4" s="378"/>
      <c r="K4" s="378"/>
      <c r="L4" s="378"/>
      <c r="M4" s="379"/>
    </row>
    <row r="5" spans="1:13" ht="12" customHeight="1">
      <c r="A5" s="239" t="s">
        <v>23</v>
      </c>
      <c r="D5" s="220">
        <v>2014</v>
      </c>
      <c r="E5" s="220">
        <v>2015</v>
      </c>
      <c r="F5" s="241" t="s">
        <v>77</v>
      </c>
      <c r="H5" s="377"/>
      <c r="I5" s="378"/>
      <c r="J5" s="378"/>
      <c r="K5" s="378"/>
      <c r="L5" s="378"/>
      <c r="M5" s="379"/>
    </row>
    <row r="6" spans="1:13" ht="12" customHeight="1">
      <c r="A6" s="239"/>
      <c r="B6" s="217" t="s">
        <v>24</v>
      </c>
      <c r="D6" s="222">
        <f>SP1000P100F1000CY</f>
        <v>295641</v>
      </c>
      <c r="E6" s="222">
        <f>SP1000P100F1000</f>
        <v>367940</v>
      </c>
      <c r="F6" s="242">
        <f>IF(D6=0," ",(E6-D6)/D6)</f>
        <v>0.245</v>
      </c>
      <c r="H6" s="377"/>
      <c r="I6" s="378"/>
      <c r="J6" s="378"/>
      <c r="K6" s="378"/>
      <c r="L6" s="378"/>
      <c r="M6" s="379"/>
    </row>
    <row r="7" spans="1:13" ht="12" customHeight="1">
      <c r="A7" s="239"/>
      <c r="B7" s="217" t="s">
        <v>25</v>
      </c>
      <c r="D7" s="223"/>
      <c r="E7" s="262"/>
      <c r="F7" s="263"/>
      <c r="H7" s="380"/>
      <c r="I7" s="381"/>
      <c r="J7" s="381"/>
      <c r="K7" s="381"/>
      <c r="L7" s="381"/>
      <c r="M7" s="382"/>
    </row>
    <row r="8" spans="1:11" ht="12" customHeight="1">
      <c r="A8" s="239"/>
      <c r="C8" s="217" t="s">
        <v>220</v>
      </c>
      <c r="D8" s="224">
        <f>SP1000P100F2100CY</f>
        <v>18489</v>
      </c>
      <c r="E8" s="261">
        <f>SP1000P100F2100</f>
        <v>33790</v>
      </c>
      <c r="F8" s="243">
        <f>IF(D8=0," ",(E8-D8)/D8)</f>
        <v>0.828</v>
      </c>
      <c r="H8" s="235"/>
      <c r="I8" s="235"/>
      <c r="J8" s="235"/>
      <c r="K8" s="235"/>
    </row>
    <row r="9" spans="1:13" ht="12" customHeight="1">
      <c r="A9" s="239"/>
      <c r="C9" s="217" t="s">
        <v>221</v>
      </c>
      <c r="D9" s="221">
        <f>SP1000P100F2200CY</f>
        <v>9100</v>
      </c>
      <c r="E9" s="221">
        <f>SP1000P100F2200</f>
        <v>12676</v>
      </c>
      <c r="F9" s="246">
        <f>IF(D9=0," ",(E9-D9)/D9)</f>
        <v>0.393</v>
      </c>
      <c r="H9" s="248"/>
      <c r="I9" s="238"/>
      <c r="J9" s="249"/>
      <c r="K9" s="390" t="s">
        <v>73</v>
      </c>
      <c r="L9" s="391"/>
      <c r="M9" s="231" t="s">
        <v>75</v>
      </c>
    </row>
    <row r="10" spans="1:13" ht="12" customHeight="1">
      <c r="A10" s="239"/>
      <c r="C10" s="217" t="s">
        <v>222</v>
      </c>
      <c r="D10" s="221">
        <f>SP1000P100F2300CY</f>
        <v>9310</v>
      </c>
      <c r="E10" s="221">
        <f>SP1000P100F2300</f>
        <v>11850</v>
      </c>
      <c r="F10" s="242">
        <f aca="true" t="shared" si="0" ref="F10:F21">IF(D10=0," ",(E10-D10)/D10)</f>
        <v>0.273</v>
      </c>
      <c r="H10" s="250" t="s">
        <v>234</v>
      </c>
      <c r="I10" s="256"/>
      <c r="J10" s="257"/>
      <c r="K10" s="231" t="s">
        <v>304</v>
      </c>
      <c r="L10" s="231" t="s">
        <v>67</v>
      </c>
      <c r="M10" s="240" t="s">
        <v>76</v>
      </c>
    </row>
    <row r="11" spans="1:13" ht="12" customHeight="1">
      <c r="A11" s="239"/>
      <c r="C11" s="217" t="s">
        <v>223</v>
      </c>
      <c r="D11" s="221">
        <f>SP1000P100F2400CY</f>
        <v>45419</v>
      </c>
      <c r="E11" s="221">
        <f>SP1000P100F2400</f>
        <v>43142</v>
      </c>
      <c r="F11" s="242">
        <f t="shared" si="0"/>
        <v>-0.05</v>
      </c>
      <c r="H11" s="251"/>
      <c r="I11" s="258"/>
      <c r="J11" s="225"/>
      <c r="K11" s="220">
        <v>2014</v>
      </c>
      <c r="L11" s="220">
        <v>2015</v>
      </c>
      <c r="M11" s="241" t="s">
        <v>77</v>
      </c>
    </row>
    <row r="12" spans="1:13" ht="12" customHeight="1">
      <c r="A12" s="239"/>
      <c r="C12" s="217" t="s">
        <v>224</v>
      </c>
      <c r="D12" s="221">
        <f>SP1000P100F2500CY</f>
        <v>13870</v>
      </c>
      <c r="E12" s="221">
        <f>SP1000P100F2500</f>
        <v>27870</v>
      </c>
      <c r="F12" s="242">
        <f t="shared" si="0"/>
        <v>1.009</v>
      </c>
      <c r="H12" s="252" t="s">
        <v>35</v>
      </c>
      <c r="I12" s="218"/>
      <c r="J12" s="257"/>
      <c r="K12" s="222">
        <f>P200AutismCY</f>
        <v>0</v>
      </c>
      <c r="L12" s="222">
        <f>P200Autism</f>
        <v>0</v>
      </c>
      <c r="M12" s="242" t="str">
        <f aca="true" t="shared" si="1" ref="M12:M32">IF(K12=0," ",(L12-K12)/K12)</f>
        <v> </v>
      </c>
    </row>
    <row r="13" spans="1:13" ht="12" customHeight="1">
      <c r="A13" s="239"/>
      <c r="C13" s="217" t="s">
        <v>225</v>
      </c>
      <c r="D13" s="221">
        <f>SP1000P100F2600CY</f>
        <v>45703</v>
      </c>
      <c r="E13" s="221">
        <f>SP1000P100F2600</f>
        <v>52203</v>
      </c>
      <c r="F13" s="242">
        <f t="shared" si="0"/>
        <v>0.142</v>
      </c>
      <c r="H13" s="252" t="s">
        <v>200</v>
      </c>
      <c r="I13" s="218"/>
      <c r="J13" s="257"/>
      <c r="K13" s="222">
        <f>P200DevelopmentalDelayCY</f>
        <v>0</v>
      </c>
      <c r="L13" s="221">
        <f>P200DevelopmentalDelay</f>
        <v>0</v>
      </c>
      <c r="M13" s="242" t="str">
        <f t="shared" si="1"/>
        <v> </v>
      </c>
    </row>
    <row r="14" spans="1:13" ht="12" customHeight="1">
      <c r="A14" s="239"/>
      <c r="C14" s="217" t="s">
        <v>226</v>
      </c>
      <c r="D14" s="221">
        <f>SP1000P100F2900CY</f>
        <v>0</v>
      </c>
      <c r="E14" s="221">
        <f>SP1000P100F2900</f>
        <v>0</v>
      </c>
      <c r="F14" s="242" t="str">
        <f t="shared" si="0"/>
        <v> </v>
      </c>
      <c r="H14" s="252" t="s">
        <v>36</v>
      </c>
      <c r="I14" s="218"/>
      <c r="J14" s="257"/>
      <c r="K14" s="222">
        <f>P200EmotionalDisabilityCY</f>
        <v>0</v>
      </c>
      <c r="L14" s="221">
        <f>P200EmotionalDisability</f>
        <v>0</v>
      </c>
      <c r="M14" s="242" t="str">
        <f t="shared" si="1"/>
        <v> </v>
      </c>
    </row>
    <row r="15" spans="1:13" ht="12" customHeight="1">
      <c r="A15" s="239"/>
      <c r="B15" s="217" t="s">
        <v>28</v>
      </c>
      <c r="D15" s="221">
        <f>SP1000P100F3000CY</f>
        <v>0</v>
      </c>
      <c r="E15" s="221">
        <f>SP1000P100F3000</f>
        <v>0</v>
      </c>
      <c r="F15" s="242" t="str">
        <f t="shared" si="0"/>
        <v> </v>
      </c>
      <c r="H15" s="252" t="s">
        <v>37</v>
      </c>
      <c r="I15" s="218"/>
      <c r="J15" s="257"/>
      <c r="K15" s="221">
        <f>P200HearingImpairmentCY</f>
        <v>0</v>
      </c>
      <c r="L15" s="221">
        <f>P200HearingImpairment</f>
        <v>0</v>
      </c>
      <c r="M15" s="242" t="str">
        <f t="shared" si="1"/>
        <v> </v>
      </c>
    </row>
    <row r="16" spans="1:13" ht="12" customHeight="1">
      <c r="A16" s="239"/>
      <c r="B16" s="217" t="s">
        <v>168</v>
      </c>
      <c r="D16" s="221">
        <f>SP1000P100F4000CY</f>
        <v>0</v>
      </c>
      <c r="E16" s="221">
        <f>SP1000P100F4000</f>
        <v>0</v>
      </c>
      <c r="F16" s="242" t="str">
        <f t="shared" si="0"/>
        <v> </v>
      </c>
      <c r="H16" s="252" t="s">
        <v>38</v>
      </c>
      <c r="I16" s="218"/>
      <c r="J16" s="257"/>
      <c r="K16" s="221">
        <f>P200OtherHealthImpairmentsCY</f>
        <v>0</v>
      </c>
      <c r="L16" s="221">
        <f>P200OtherHealthImpairments</f>
        <v>0</v>
      </c>
      <c r="M16" s="242" t="str">
        <f t="shared" si="1"/>
        <v> </v>
      </c>
    </row>
    <row r="17" spans="1:13" ht="12" customHeight="1">
      <c r="A17" s="239"/>
      <c r="B17" s="217" t="s">
        <v>29</v>
      </c>
      <c r="D17" s="221">
        <f>SP1000P100F5000CY</f>
        <v>74192</v>
      </c>
      <c r="E17" s="221">
        <f>SP1000P100F5000</f>
        <v>74192</v>
      </c>
      <c r="F17" s="242">
        <f t="shared" si="0"/>
        <v>0</v>
      </c>
      <c r="H17" s="252" t="s">
        <v>39</v>
      </c>
      <c r="I17" s="218"/>
      <c r="J17" s="257"/>
      <c r="K17" s="221">
        <f>P200SpecificLearningDisabilityCY</f>
        <v>0</v>
      </c>
      <c r="L17" s="221">
        <f>P200SpecificLearningDisability</f>
        <v>0</v>
      </c>
      <c r="M17" s="242" t="str">
        <f t="shared" si="1"/>
        <v> </v>
      </c>
    </row>
    <row r="18" spans="1:13" ht="12" customHeight="1">
      <c r="A18" s="239" t="s">
        <v>88</v>
      </c>
      <c r="D18" s="221">
        <f>SP1000P610CY</f>
        <v>0</v>
      </c>
      <c r="E18" s="221">
        <f>SP1000P610</f>
        <v>0</v>
      </c>
      <c r="F18" s="242" t="str">
        <f t="shared" si="0"/>
        <v> </v>
      </c>
      <c r="H18" s="252" t="s">
        <v>243</v>
      </c>
      <c r="I18" s="218"/>
      <c r="J18" s="257"/>
      <c r="K18" s="221">
        <f>P200MildModerateOrSevereIDCY</f>
        <v>22075</v>
      </c>
      <c r="L18" s="221">
        <f>P200MildModerateorSevereID</f>
        <v>22100</v>
      </c>
      <c r="M18" s="242">
        <f t="shared" si="1"/>
        <v>0.001</v>
      </c>
    </row>
    <row r="19" spans="1:13" ht="12" customHeight="1">
      <c r="A19" s="239" t="s">
        <v>90</v>
      </c>
      <c r="D19" s="221">
        <f>SP1000P620CY</f>
        <v>7300</v>
      </c>
      <c r="E19" s="221">
        <f>SP1000P620</f>
        <v>9300</v>
      </c>
      <c r="F19" s="242">
        <f t="shared" si="0"/>
        <v>0.274</v>
      </c>
      <c r="H19" s="252" t="s">
        <v>40</v>
      </c>
      <c r="I19" s="218"/>
      <c r="J19" s="257"/>
      <c r="K19" s="221">
        <f>P200MultipleDisabilitiesCY</f>
        <v>0</v>
      </c>
      <c r="L19" s="221">
        <f>P200MultipleDisabilities</f>
        <v>0</v>
      </c>
      <c r="M19" s="242" t="str">
        <f t="shared" si="1"/>
        <v> </v>
      </c>
    </row>
    <row r="20" spans="1:13" ht="12" customHeight="1">
      <c r="A20" s="239" t="s">
        <v>89</v>
      </c>
      <c r="D20" s="221">
        <f>SP1000P630700800900CY</f>
        <v>0</v>
      </c>
      <c r="E20" s="221">
        <f>SP1000P630700800900</f>
        <v>0</v>
      </c>
      <c r="F20" s="242" t="str">
        <f t="shared" si="0"/>
        <v> </v>
      </c>
      <c r="H20" s="252" t="s">
        <v>244</v>
      </c>
      <c r="I20" s="218"/>
      <c r="J20" s="257"/>
      <c r="K20" s="221">
        <f>P200MultipleDisabilitieswithSSICY</f>
        <v>0</v>
      </c>
      <c r="L20" s="221">
        <f>P200MultipleDisabilitieswithSSI</f>
        <v>0</v>
      </c>
      <c r="M20" s="242" t="str">
        <f t="shared" si="1"/>
        <v> </v>
      </c>
    </row>
    <row r="21" spans="1:13" ht="12" customHeight="1">
      <c r="A21" s="244"/>
      <c r="B21" s="219" t="s">
        <v>227</v>
      </c>
      <c r="C21" s="225"/>
      <c r="D21" s="221">
        <f>SUM(D6:D20)</f>
        <v>519024</v>
      </c>
      <c r="E21" s="221">
        <f>SUM(E6:E20)</f>
        <v>632963</v>
      </c>
      <c r="F21" s="242">
        <f t="shared" si="0"/>
        <v>0.22</v>
      </c>
      <c r="H21" s="252" t="s">
        <v>41</v>
      </c>
      <c r="I21" s="218"/>
      <c r="J21" s="257"/>
      <c r="K21" s="221">
        <f>P200OrthopedicImpairmentCY</f>
        <v>0</v>
      </c>
      <c r="L21" s="221">
        <f>P200OrthopedicImpairment</f>
        <v>0</v>
      </c>
      <c r="M21" s="242" t="str">
        <f t="shared" si="1"/>
        <v> </v>
      </c>
    </row>
    <row r="22" spans="1:13" ht="12" customHeight="1">
      <c r="A22" s="239" t="s">
        <v>30</v>
      </c>
      <c r="D22" s="223"/>
      <c r="E22" s="262"/>
      <c r="F22" s="263"/>
      <c r="H22" s="252" t="s">
        <v>310</v>
      </c>
      <c r="I22" s="218"/>
      <c r="J22" s="257"/>
      <c r="K22" s="135"/>
      <c r="L22" s="221">
        <f>P200PreschoolSevereDelay</f>
        <v>0</v>
      </c>
      <c r="M22" s="315" t="str">
        <f t="shared" si="1"/>
        <v> </v>
      </c>
    </row>
    <row r="23" spans="1:13" ht="12" customHeight="1">
      <c r="A23" s="239"/>
      <c r="B23" s="217" t="s">
        <v>24</v>
      </c>
      <c r="D23" s="226">
        <f>SP1000P200F1000CY</f>
        <v>22075</v>
      </c>
      <c r="E23" s="264">
        <f>SP1000P200F1000</f>
        <v>22100</v>
      </c>
      <c r="F23" s="243">
        <f>IF(D23=0," ",(E23-D23)/D23)</f>
        <v>0.001</v>
      </c>
      <c r="H23" s="252" t="s">
        <v>42</v>
      </c>
      <c r="I23" s="218"/>
      <c r="J23" s="257"/>
      <c r="K23" s="221">
        <f>P200SpeechLanguageImpairmentCY</f>
        <v>0</v>
      </c>
      <c r="L23" s="221">
        <f>P200SpeechLanguageImpairment</f>
        <v>0</v>
      </c>
      <c r="M23" s="242" t="str">
        <f t="shared" si="1"/>
        <v> </v>
      </c>
    </row>
    <row r="24" spans="1:13" ht="12" customHeight="1">
      <c r="A24" s="239"/>
      <c r="B24" s="217" t="s">
        <v>25</v>
      </c>
      <c r="D24" s="227"/>
      <c r="E24" s="227"/>
      <c r="F24" s="246"/>
      <c r="H24" s="252" t="s">
        <v>43</v>
      </c>
      <c r="I24" s="218"/>
      <c r="J24" s="257"/>
      <c r="K24" s="221">
        <f>P200TraumaticBrainInjuryCY</f>
        <v>0</v>
      </c>
      <c r="L24" s="221">
        <f>P200TraumaticBrainInjury</f>
        <v>0</v>
      </c>
      <c r="M24" s="242" t="str">
        <f t="shared" si="1"/>
        <v> </v>
      </c>
    </row>
    <row r="25" spans="1:13" ht="12" customHeight="1">
      <c r="A25" s="239"/>
      <c r="C25" s="217" t="s">
        <v>220</v>
      </c>
      <c r="D25" s="222">
        <f>SP1000P200F2100CY</f>
        <v>0</v>
      </c>
      <c r="E25" s="222">
        <f>SP1000P200F2100</f>
        <v>0</v>
      </c>
      <c r="F25" s="243" t="str">
        <f aca="true" t="shared" si="2" ref="F25:F41">IF(D25=0," ",(E25-D25)/D25)</f>
        <v> </v>
      </c>
      <c r="H25" s="252" t="s">
        <v>44</v>
      </c>
      <c r="I25" s="218"/>
      <c r="J25" s="257"/>
      <c r="K25" s="221">
        <f>P200VisualImpairmentCY</f>
        <v>0</v>
      </c>
      <c r="L25" s="221">
        <f>P200VisualImpairment</f>
        <v>0</v>
      </c>
      <c r="M25" s="242" t="str">
        <f t="shared" si="1"/>
        <v> </v>
      </c>
    </row>
    <row r="26" spans="1:13" ht="12" customHeight="1">
      <c r="A26" s="239"/>
      <c r="C26" s="217" t="s">
        <v>221</v>
      </c>
      <c r="D26" s="222">
        <f>SP1000P200F2200CY</f>
        <v>0</v>
      </c>
      <c r="E26" s="222">
        <f>SP1000P200F2200</f>
        <v>0</v>
      </c>
      <c r="F26" s="246" t="str">
        <f t="shared" si="2"/>
        <v> </v>
      </c>
      <c r="H26" s="252" t="s">
        <v>45</v>
      </c>
      <c r="I26" s="218"/>
      <c r="J26" s="257"/>
      <c r="K26" s="221">
        <f>P200GiftedEducationCY</f>
        <v>0</v>
      </c>
      <c r="L26" s="221">
        <f>P200GiftedEducation</f>
        <v>0</v>
      </c>
      <c r="M26" s="242" t="str">
        <f t="shared" si="1"/>
        <v> </v>
      </c>
    </row>
    <row r="27" spans="1:13" ht="12" customHeight="1">
      <c r="A27" s="239"/>
      <c r="C27" s="217" t="s">
        <v>222</v>
      </c>
      <c r="D27" s="222">
        <f>SP1000P200F2300CY</f>
        <v>0</v>
      </c>
      <c r="E27" s="222">
        <f>SP1000P200F2300</f>
        <v>0</v>
      </c>
      <c r="F27" s="242" t="str">
        <f t="shared" si="2"/>
        <v> </v>
      </c>
      <c r="H27" s="252" t="s">
        <v>163</v>
      </c>
      <c r="I27" s="218"/>
      <c r="J27" s="257"/>
      <c r="K27" s="221">
        <f>P200ELLIncrementalCostsCY</f>
        <v>0</v>
      </c>
      <c r="L27" s="221">
        <f>P200ELLIncrementalCosts</f>
        <v>0</v>
      </c>
      <c r="M27" s="242" t="str">
        <f t="shared" si="1"/>
        <v> </v>
      </c>
    </row>
    <row r="28" spans="1:13" ht="12" customHeight="1">
      <c r="A28" s="239"/>
      <c r="C28" s="217" t="s">
        <v>223</v>
      </c>
      <c r="D28" s="222">
        <f>SP1000P200F2400CY</f>
        <v>0</v>
      </c>
      <c r="E28" s="222">
        <f>SP1000P200F2400</f>
        <v>0</v>
      </c>
      <c r="F28" s="242" t="str">
        <f t="shared" si="2"/>
        <v> </v>
      </c>
      <c r="H28" s="252" t="s">
        <v>164</v>
      </c>
      <c r="I28" s="218"/>
      <c r="J28" s="257"/>
      <c r="K28" s="221">
        <f>P200ELLCompensatoryInstructionCY</f>
        <v>0</v>
      </c>
      <c r="L28" s="221">
        <f>P200ELLCompensatoryInstruction</f>
        <v>0</v>
      </c>
      <c r="M28" s="242" t="str">
        <f t="shared" si="1"/>
        <v> </v>
      </c>
    </row>
    <row r="29" spans="1:13" ht="12" customHeight="1">
      <c r="A29" s="239"/>
      <c r="C29" s="217" t="s">
        <v>224</v>
      </c>
      <c r="D29" s="222">
        <f>SP1000P200F2500CY</f>
        <v>0</v>
      </c>
      <c r="E29" s="222">
        <f>SP1000P200F2500</f>
        <v>0</v>
      </c>
      <c r="F29" s="242" t="str">
        <f t="shared" si="2"/>
        <v> </v>
      </c>
      <c r="H29" s="252" t="s">
        <v>46</v>
      </c>
      <c r="I29" s="218"/>
      <c r="J29" s="257"/>
      <c r="K29" s="221">
        <f>P200RemedialEducationCY</f>
        <v>0</v>
      </c>
      <c r="L29" s="221">
        <f>P200RemedialEducation</f>
        <v>0</v>
      </c>
      <c r="M29" s="242" t="str">
        <f t="shared" si="1"/>
        <v> </v>
      </c>
    </row>
    <row r="30" spans="1:13" ht="12" customHeight="1">
      <c r="A30" s="239"/>
      <c r="C30" s="217" t="s">
        <v>225</v>
      </c>
      <c r="D30" s="222">
        <f>SP1000P200F2600CY</f>
        <v>0</v>
      </c>
      <c r="E30" s="222">
        <f>SP1000P200F2600</f>
        <v>0</v>
      </c>
      <c r="F30" s="242" t="str">
        <f t="shared" si="2"/>
        <v> </v>
      </c>
      <c r="H30" s="252" t="s">
        <v>201</v>
      </c>
      <c r="I30" s="218"/>
      <c r="J30" s="257"/>
      <c r="K30" s="221">
        <f>P200VocationalandTechnologicalEdCY</f>
        <v>0</v>
      </c>
      <c r="L30" s="221">
        <f>P200VocationalandTechnologicalEd</f>
        <v>0</v>
      </c>
      <c r="M30" s="242" t="str">
        <f t="shared" si="1"/>
        <v> </v>
      </c>
    </row>
    <row r="31" spans="1:13" ht="12" customHeight="1">
      <c r="A31" s="239"/>
      <c r="C31" s="217" t="s">
        <v>226</v>
      </c>
      <c r="D31" s="222">
        <f>SP1000P200F2900CY</f>
        <v>0</v>
      </c>
      <c r="E31" s="222">
        <f>SP1000P200F2900</f>
        <v>0</v>
      </c>
      <c r="F31" s="242" t="str">
        <f t="shared" si="2"/>
        <v> </v>
      </c>
      <c r="H31" s="252" t="s">
        <v>47</v>
      </c>
      <c r="I31" s="218"/>
      <c r="J31" s="257"/>
      <c r="K31" s="234">
        <f>P200CareerEducationCY</f>
        <v>0</v>
      </c>
      <c r="L31" s="234">
        <f>P200CareerEducation</f>
        <v>0</v>
      </c>
      <c r="M31" s="242" t="str">
        <f t="shared" si="1"/>
        <v> </v>
      </c>
    </row>
    <row r="32" spans="1:13" ht="12" customHeight="1">
      <c r="A32" s="239"/>
      <c r="B32" s="217" t="s">
        <v>28</v>
      </c>
      <c r="D32" s="222">
        <f>SP1000P200F3000CY</f>
        <v>0</v>
      </c>
      <c r="E32" s="222">
        <f>SP1000P200F3000</f>
        <v>0</v>
      </c>
      <c r="F32" s="242" t="str">
        <f t="shared" si="2"/>
        <v> </v>
      </c>
      <c r="H32" s="253" t="s">
        <v>231</v>
      </c>
      <c r="I32" s="254"/>
      <c r="J32" s="225"/>
      <c r="K32" s="221">
        <f>SUM(K12:K31)</f>
        <v>22075</v>
      </c>
      <c r="L32" s="221">
        <f>SUM(L12:L31)</f>
        <v>22100</v>
      </c>
      <c r="M32" s="245">
        <f t="shared" si="1"/>
        <v>0.001</v>
      </c>
    </row>
    <row r="33" spans="1:6" ht="12" customHeight="1">
      <c r="A33" s="239"/>
      <c r="B33" s="217" t="s">
        <v>168</v>
      </c>
      <c r="D33" s="222">
        <f>SP1000P200F4000CY</f>
        <v>0</v>
      </c>
      <c r="E33" s="222">
        <f>SP1000P200F4000</f>
        <v>0</v>
      </c>
      <c r="F33" s="242" t="str">
        <f t="shared" si="2"/>
        <v> </v>
      </c>
    </row>
    <row r="34" spans="1:12" ht="12" customHeight="1">
      <c r="A34" s="239"/>
      <c r="B34" s="217" t="s">
        <v>29</v>
      </c>
      <c r="D34" s="222">
        <f>SP1000P200F5000CY</f>
        <v>0</v>
      </c>
      <c r="E34" s="222">
        <f>SP1000P200F5000</f>
        <v>0</v>
      </c>
      <c r="F34" s="242" t="str">
        <f t="shared" si="2"/>
        <v> </v>
      </c>
      <c r="H34" s="383" t="s">
        <v>239</v>
      </c>
      <c r="I34" s="384"/>
      <c r="J34" s="384"/>
      <c r="K34" s="384"/>
      <c r="L34" s="385"/>
    </row>
    <row r="35" spans="1:13" ht="12" customHeight="1">
      <c r="A35" s="244"/>
      <c r="B35" s="219" t="s">
        <v>228</v>
      </c>
      <c r="C35" s="225"/>
      <c r="D35" s="221">
        <f>SUM(D23:D34)</f>
        <v>22075</v>
      </c>
      <c r="E35" s="221">
        <f>SUM(E23:E34)</f>
        <v>22100</v>
      </c>
      <c r="F35" s="245">
        <f t="shared" si="2"/>
        <v>0.001</v>
      </c>
      <c r="H35" s="239"/>
      <c r="J35" s="386" t="s">
        <v>73</v>
      </c>
      <c r="K35" s="387"/>
      <c r="L35" s="240" t="s">
        <v>75</v>
      </c>
      <c r="M35" s="236"/>
    </row>
    <row r="36" spans="1:12" ht="12" customHeight="1">
      <c r="A36" s="247" t="s">
        <v>229</v>
      </c>
      <c r="B36" s="228"/>
      <c r="C36" s="229"/>
      <c r="D36" s="221">
        <f>SP1000P300CY</f>
        <v>0</v>
      </c>
      <c r="E36" s="221">
        <f>SP1000P300</f>
        <v>0</v>
      </c>
      <c r="F36" s="245" t="str">
        <f t="shared" si="2"/>
        <v> </v>
      </c>
      <c r="H36" s="239"/>
      <c r="J36" s="232" t="s">
        <v>304</v>
      </c>
      <c r="K36" s="232" t="s">
        <v>67</v>
      </c>
      <c r="L36" s="240" t="s">
        <v>76</v>
      </c>
    </row>
    <row r="37" spans="1:12" ht="12" customHeight="1">
      <c r="A37" s="247" t="s">
        <v>31</v>
      </c>
      <c r="B37" s="228"/>
      <c r="C37" s="229"/>
      <c r="D37" s="221">
        <f>SP1000P400CY</f>
        <v>9150</v>
      </c>
      <c r="E37" s="221">
        <f>SP1000P400</f>
        <v>18550</v>
      </c>
      <c r="F37" s="245">
        <f t="shared" si="2"/>
        <v>1.027</v>
      </c>
      <c r="H37" s="255"/>
      <c r="J37" s="220">
        <v>2014</v>
      </c>
      <c r="K37" s="220">
        <v>2015</v>
      </c>
      <c r="L37" s="241" t="s">
        <v>77</v>
      </c>
    </row>
    <row r="38" spans="1:12" ht="12" customHeight="1">
      <c r="A38" s="247" t="s">
        <v>32</v>
      </c>
      <c r="B38" s="228"/>
      <c r="C38" s="229"/>
      <c r="D38" s="221">
        <f>SP1000P530CY</f>
        <v>0</v>
      </c>
      <c r="E38" s="221">
        <f>SP1000P530</f>
        <v>0</v>
      </c>
      <c r="F38" s="245" t="str">
        <f t="shared" si="2"/>
        <v> </v>
      </c>
      <c r="H38" s="247" t="s">
        <v>235</v>
      </c>
      <c r="I38" s="228"/>
      <c r="J38" s="222">
        <f>SP1000TotalCY</f>
        <v>550249</v>
      </c>
      <c r="K38" s="222">
        <f>SP1000Total</f>
        <v>673613</v>
      </c>
      <c r="L38" s="245">
        <f>IF(J38=0," ",(K38-J38)/J38)</f>
        <v>0.224</v>
      </c>
    </row>
    <row r="39" spans="1:12" ht="12" customHeight="1">
      <c r="A39" s="247" t="s">
        <v>230</v>
      </c>
      <c r="B39" s="228"/>
      <c r="C39" s="229"/>
      <c r="D39" s="221">
        <f>SP1000P540CY</f>
        <v>0</v>
      </c>
      <c r="E39" s="221">
        <f>SP1000P540</f>
        <v>0</v>
      </c>
      <c r="F39" s="245" t="str">
        <f t="shared" si="2"/>
        <v> </v>
      </c>
      <c r="H39" s="247" t="s">
        <v>232</v>
      </c>
      <c r="I39" s="228"/>
      <c r="J39" s="221">
        <f>SP1000ClassSiteProjCY</f>
        <v>15876</v>
      </c>
      <c r="K39" s="221">
        <f>SP1000ClassSiteProj</f>
        <v>15876</v>
      </c>
      <c r="L39" s="245">
        <f aca="true" t="shared" si="3" ref="L39:L47">IF(J39=0," ",(K39-J39)/J39)</f>
        <v>0</v>
      </c>
    </row>
    <row r="40" spans="1:12" ht="12" customHeight="1">
      <c r="A40" s="244" t="s">
        <v>245</v>
      </c>
      <c r="B40" s="219"/>
      <c r="C40" s="225"/>
      <c r="D40" s="221">
        <f>SP1000P550CY</f>
        <v>0</v>
      </c>
      <c r="E40" s="221">
        <f>SP1000P550</f>
        <v>0</v>
      </c>
      <c r="F40" s="245" t="str">
        <f t="shared" si="2"/>
        <v> </v>
      </c>
      <c r="H40" s="247" t="s">
        <v>242</v>
      </c>
      <c r="I40" s="228"/>
      <c r="J40" s="221">
        <f>SP1000InstrImpProjCY</f>
        <v>4000</v>
      </c>
      <c r="K40" s="221">
        <f>SP1000InstrImpProj</f>
        <v>4000</v>
      </c>
      <c r="L40" s="245">
        <f t="shared" si="3"/>
        <v>0</v>
      </c>
    </row>
    <row r="41" spans="1:12" ht="12" customHeight="1">
      <c r="A41" s="244"/>
      <c r="B41" s="219"/>
      <c r="C41" s="225" t="s">
        <v>231</v>
      </c>
      <c r="D41" s="222">
        <f>SUM(D35:D40)+D21</f>
        <v>550249</v>
      </c>
      <c r="E41" s="222">
        <f>SUM(E35:E40)+E21</f>
        <v>673613</v>
      </c>
      <c r="F41" s="245">
        <f t="shared" si="2"/>
        <v>0.224</v>
      </c>
      <c r="H41" s="247" t="s">
        <v>241</v>
      </c>
      <c r="I41" s="228"/>
      <c r="J41" s="221">
        <f>SP1000StruEngImmProjCY</f>
        <v>0</v>
      </c>
      <c r="K41" s="221">
        <f>SP1000StruEngImmProj</f>
        <v>0</v>
      </c>
      <c r="L41" s="245" t="str">
        <f t="shared" si="3"/>
        <v> </v>
      </c>
    </row>
    <row r="42" spans="4:12" ht="12" customHeight="1">
      <c r="D42" s="310"/>
      <c r="E42" s="310"/>
      <c r="F42" s="311"/>
      <c r="H42" s="247" t="s">
        <v>164</v>
      </c>
      <c r="I42" s="228"/>
      <c r="J42" s="221">
        <f>SP1000CompInstrProjCY</f>
        <v>0</v>
      </c>
      <c r="K42" s="221">
        <f>SP1000CompInstrProj</f>
        <v>0</v>
      </c>
      <c r="L42" s="245" t="str">
        <f t="shared" si="3"/>
        <v> </v>
      </c>
    </row>
    <row r="43" spans="8:12" ht="12" customHeight="1">
      <c r="H43" s="247" t="s">
        <v>319</v>
      </c>
      <c r="I43" s="228"/>
      <c r="J43" s="135"/>
      <c r="K43" s="221">
        <f>SP1000StudentSuccessProj</f>
        <v>1409</v>
      </c>
      <c r="L43" s="316" t="str">
        <f t="shared" si="3"/>
        <v> </v>
      </c>
    </row>
    <row r="44" spans="8:12" ht="12" customHeight="1">
      <c r="H44" s="247" t="s">
        <v>236</v>
      </c>
      <c r="I44" s="228"/>
      <c r="J44" s="221">
        <f>TotalFederalProjectsCY</f>
        <v>23234</v>
      </c>
      <c r="K44" s="221">
        <f>TotalFederalProjects</f>
        <v>6723</v>
      </c>
      <c r="L44" s="245">
        <f t="shared" si="3"/>
        <v>-0.711</v>
      </c>
    </row>
    <row r="45" spans="8:12" ht="12" customHeight="1">
      <c r="H45" s="247" t="s">
        <v>237</v>
      </c>
      <c r="I45" s="228"/>
      <c r="J45" s="221">
        <f>TotalStateProjectsCY</f>
        <v>5874</v>
      </c>
      <c r="K45" s="221">
        <f>TotalStateProjects</f>
        <v>7600</v>
      </c>
      <c r="L45" s="245">
        <f t="shared" si="3"/>
        <v>0.294</v>
      </c>
    </row>
    <row r="46" spans="8:12" ht="12" customHeight="1">
      <c r="H46" s="247" t="s">
        <v>238</v>
      </c>
      <c r="I46" s="228"/>
      <c r="J46" s="221">
        <f>TotalCapitalAcquisitionsCY</f>
        <v>0</v>
      </c>
      <c r="K46" s="221">
        <f>TotalCapitalAcquisitions</f>
        <v>0</v>
      </c>
      <c r="L46" s="245" t="str">
        <f t="shared" si="3"/>
        <v> </v>
      </c>
    </row>
    <row r="47" spans="8:12" ht="12" customHeight="1">
      <c r="H47" s="247" t="s">
        <v>233</v>
      </c>
      <c r="I47" s="228"/>
      <c r="J47" s="221">
        <f>SUM(J38:J46)</f>
        <v>599233</v>
      </c>
      <c r="K47" s="221">
        <f>SUM(K38:K46)</f>
        <v>709221</v>
      </c>
      <c r="L47" s="245">
        <f t="shared" si="3"/>
        <v>0.184</v>
      </c>
    </row>
    <row r="48" ht="12" customHeight="1"/>
    <row r="49" ht="12.75" customHeight="1"/>
    <row r="50" ht="12.75" customHeight="1"/>
    <row r="51" ht="12.75" customHeight="1"/>
    <row r="52" ht="12.75" customHeight="1"/>
    <row r="53" ht="12.75" customHeight="1"/>
    <row r="54" spans="8:10" ht="12.75" customHeight="1">
      <c r="H54" s="230"/>
      <c r="J54" s="233"/>
    </row>
    <row r="55" ht="12.75" customHeight="1"/>
    <row r="56" ht="12.75" customHeight="1"/>
  </sheetData>
  <sheetProtection sheet="1"/>
  <mergeCells count="6">
    <mergeCell ref="A1:J1"/>
    <mergeCell ref="H3:M7"/>
    <mergeCell ref="H34:L34"/>
    <mergeCell ref="J35:K35"/>
    <mergeCell ref="D3:E3"/>
    <mergeCell ref="K9:L9"/>
  </mergeCells>
  <printOptions horizontalCentered="1" verticalCentered="1"/>
  <pageMargins left="0.75" right="0.5" top="0.25" bottom="0.25" header="0.25" footer="0.25"/>
  <pageSetup horizontalDpi="600" verticalDpi="600" orientation="landscape" paperSize="5" r:id="rId2"/>
  <headerFooter>
    <oddFooter>&amp;L&amp;"Arial,Bold"Rev. 5/14&amp;C&amp;"Arial,Bold"FY 2015&amp;R&amp;"Arial,Bold"Page 1 of 1</oddFooter>
  </headerFooter>
  <drawing r:id="rId1"/>
</worksheet>
</file>

<file path=xl/worksheets/sheet8.xml><?xml version="1.0" encoding="utf-8"?>
<worksheet xmlns="http://schemas.openxmlformats.org/spreadsheetml/2006/main" xmlns:r="http://schemas.openxmlformats.org/officeDocument/2006/relationships">
  <dimension ref="A1:D23"/>
  <sheetViews>
    <sheetView showGridLines="0" zoomScalePageLayoutView="0" workbookViewId="0" topLeftCell="A1">
      <pane ySplit="1" topLeftCell="A5" activePane="bottomLeft" state="frozen"/>
      <selection pane="topLeft" activeCell="A1" sqref="A1"/>
      <selection pane="bottomLeft" activeCell="C5" sqref="C5"/>
    </sheetView>
  </sheetViews>
  <sheetFormatPr defaultColWidth="9.140625" defaultRowHeight="12.75"/>
  <cols>
    <col min="1" max="1" width="13.00390625" style="267" customWidth="1"/>
    <col min="2" max="2" width="19.57421875" style="269" customWidth="1"/>
    <col min="3" max="3" width="88.7109375" style="268" customWidth="1"/>
    <col min="4" max="4" width="8.8515625" style="268" customWidth="1"/>
  </cols>
  <sheetData>
    <row r="1" spans="1:4" ht="21.75" customHeight="1">
      <c r="A1" s="265" t="s">
        <v>256</v>
      </c>
      <c r="B1" s="266" t="s">
        <v>257</v>
      </c>
      <c r="C1" s="273" t="s">
        <v>275</v>
      </c>
      <c r="D1" s="265"/>
    </row>
    <row r="2" spans="1:3" ht="160.5" customHeight="1">
      <c r="A2" s="287" t="s">
        <v>259</v>
      </c>
      <c r="B2" s="274" t="s">
        <v>258</v>
      </c>
      <c r="C2" s="313" t="s">
        <v>306</v>
      </c>
    </row>
    <row r="3" spans="1:3" ht="44.25" customHeight="1">
      <c r="A3" s="287" t="s">
        <v>259</v>
      </c>
      <c r="B3" s="274" t="s">
        <v>219</v>
      </c>
      <c r="C3" s="313" t="s">
        <v>285</v>
      </c>
    </row>
    <row r="4" spans="1:3" ht="97.5" customHeight="1">
      <c r="A4" s="287" t="s">
        <v>259</v>
      </c>
      <c r="B4" s="274" t="s">
        <v>91</v>
      </c>
      <c r="C4" s="313" t="s">
        <v>283</v>
      </c>
    </row>
    <row r="5" spans="1:3" ht="37.5" customHeight="1">
      <c r="A5" s="287" t="s">
        <v>259</v>
      </c>
      <c r="B5" s="274" t="s">
        <v>284</v>
      </c>
      <c r="C5" s="313" t="s">
        <v>299</v>
      </c>
    </row>
    <row r="6" spans="1:3" ht="61.5" customHeight="1">
      <c r="A6" s="287">
        <v>1</v>
      </c>
      <c r="B6" s="274" t="s">
        <v>258</v>
      </c>
      <c r="C6" s="313" t="s">
        <v>279</v>
      </c>
    </row>
    <row r="7" spans="1:3" ht="66" customHeight="1">
      <c r="A7" s="287">
        <v>1</v>
      </c>
      <c r="B7" s="274" t="s">
        <v>273</v>
      </c>
      <c r="C7" s="313" t="s">
        <v>317</v>
      </c>
    </row>
    <row r="8" spans="1:3" ht="74.25" customHeight="1">
      <c r="A8" s="287">
        <v>1</v>
      </c>
      <c r="B8" s="274" t="s">
        <v>274</v>
      </c>
      <c r="C8" s="313" t="s">
        <v>290</v>
      </c>
    </row>
    <row r="9" spans="1:3" ht="49.5" customHeight="1">
      <c r="A9" s="287">
        <v>1</v>
      </c>
      <c r="B9" s="274" t="s">
        <v>313</v>
      </c>
      <c r="C9" s="313" t="s">
        <v>314</v>
      </c>
    </row>
    <row r="10" spans="1:3" ht="62.25" customHeight="1">
      <c r="A10" s="287">
        <v>1</v>
      </c>
      <c r="B10" s="274" t="s">
        <v>272</v>
      </c>
      <c r="C10" s="313" t="s">
        <v>301</v>
      </c>
    </row>
    <row r="11" spans="1:3" ht="91.5" customHeight="1">
      <c r="A11" s="287">
        <v>2</v>
      </c>
      <c r="B11" s="274" t="s">
        <v>287</v>
      </c>
      <c r="C11" s="313" t="s">
        <v>316</v>
      </c>
    </row>
    <row r="12" spans="1:3" ht="102" customHeight="1">
      <c r="A12" s="287">
        <v>2</v>
      </c>
      <c r="B12" s="274" t="s">
        <v>238</v>
      </c>
      <c r="C12" s="313" t="s">
        <v>280</v>
      </c>
    </row>
    <row r="13" spans="1:3" ht="66" customHeight="1">
      <c r="A13" s="287">
        <v>2</v>
      </c>
      <c r="B13" s="274" t="s">
        <v>261</v>
      </c>
      <c r="C13" s="313" t="s">
        <v>281</v>
      </c>
    </row>
    <row r="14" spans="1:3" ht="50.25" customHeight="1">
      <c r="A14" s="287">
        <v>2</v>
      </c>
      <c r="B14" s="274" t="s">
        <v>315</v>
      </c>
      <c r="C14" s="313" t="s">
        <v>307</v>
      </c>
    </row>
    <row r="15" spans="1:3" ht="65.25" customHeight="1">
      <c r="A15" s="287">
        <v>2</v>
      </c>
      <c r="B15" s="274" t="s">
        <v>262</v>
      </c>
      <c r="C15" s="313" t="s">
        <v>282</v>
      </c>
    </row>
    <row r="16" spans="1:3" ht="117.75" customHeight="1">
      <c r="A16" s="287">
        <v>2</v>
      </c>
      <c r="B16" s="274" t="s">
        <v>260</v>
      </c>
      <c r="C16" s="313" t="s">
        <v>300</v>
      </c>
    </row>
    <row r="17" spans="1:3" ht="102.75" customHeight="1">
      <c r="A17" s="288" t="s">
        <v>263</v>
      </c>
      <c r="B17" s="274" t="s">
        <v>268</v>
      </c>
      <c r="C17" s="313" t="s">
        <v>318</v>
      </c>
    </row>
    <row r="18" spans="1:3" ht="37.5" customHeight="1">
      <c r="A18" s="287">
        <v>4</v>
      </c>
      <c r="B18" s="274" t="s">
        <v>265</v>
      </c>
      <c r="C18" s="313" t="s">
        <v>264</v>
      </c>
    </row>
    <row r="19" spans="1:3" ht="49.5" customHeight="1">
      <c r="A19" s="287">
        <v>4</v>
      </c>
      <c r="B19" s="274" t="s">
        <v>271</v>
      </c>
      <c r="C19" s="313" t="s">
        <v>276</v>
      </c>
    </row>
    <row r="20" spans="1:3" ht="65.25" customHeight="1">
      <c r="A20" s="287">
        <v>5</v>
      </c>
      <c r="B20" s="274" t="s">
        <v>266</v>
      </c>
      <c r="C20" s="313" t="s">
        <v>278</v>
      </c>
    </row>
    <row r="21" spans="1:3" ht="63.75" customHeight="1">
      <c r="A21" s="287">
        <v>5</v>
      </c>
      <c r="B21" s="274" t="s">
        <v>267</v>
      </c>
      <c r="C21" s="313" t="s">
        <v>277</v>
      </c>
    </row>
    <row r="22" spans="1:3" ht="25.5">
      <c r="A22" s="307" t="s">
        <v>288</v>
      </c>
      <c r="B22" s="306" t="s">
        <v>258</v>
      </c>
      <c r="C22" s="313" t="s">
        <v>289</v>
      </c>
    </row>
    <row r="23" ht="12.75">
      <c r="C23" s="313"/>
    </row>
  </sheetData>
  <sheetProtection sheet="1"/>
  <hyperlinks>
    <hyperlink ref="A2" location="Cover!A1" display="Cover"/>
    <hyperlink ref="A4" location="Cover!A1" display="Cover"/>
    <hyperlink ref="A6" location="'Page 1'!A1" display="'Page 1'!A1"/>
    <hyperlink ref="A9" location="'Page 1'!A1" display="'Page 1'!A1"/>
    <hyperlink ref="A11" location="'Page 2'!A1" display="'Page 2'!A1"/>
    <hyperlink ref="A12" location="'Page 2'!A1" display="'Page 2'!A1"/>
    <hyperlink ref="A16" location="'Page 2'!A1" display="'Page 2'!A1"/>
    <hyperlink ref="A17" location="'Page 3'!A1" display="3-4"/>
    <hyperlink ref="A18" location="'Page 4'!A1" display="'Page 4'!A1"/>
    <hyperlink ref="A20" location="'Page 5'!A1" display="'Page 5'!A1"/>
    <hyperlink ref="A21" location="'Page 5'!A1" display="'Page 5'!A1"/>
    <hyperlink ref="A19" location="'Page 4'!A1" display="'Page 4'!A1"/>
    <hyperlink ref="A7" location="'Page 1'!A1" display="'Page 1'!A1"/>
    <hyperlink ref="A8" location="'Page 1'!A1" display="'Page 1'!A1"/>
    <hyperlink ref="A10" location="'Page 1'!A1" display="'Page 1'!A1"/>
    <hyperlink ref="A13" location="'Page 2'!A1" display="'Page 2'!A1"/>
    <hyperlink ref="A14" location="'Page 2'!A1" display="'Page 2'!A1"/>
    <hyperlink ref="A15" location="'Page 2'!A1" display="'Page 2'!A1"/>
    <hyperlink ref="A5" location="Cover!A1" display="Cover"/>
    <hyperlink ref="A3" location="Cover!A1" display="Cover"/>
    <hyperlink ref="A22" location="'Budget Summary'!A1" display="Budget Summary"/>
  </hyperlinks>
  <printOptions/>
  <pageMargins left="0.7" right="0.7" top="0.75" bottom="0.75" header="0.3" footer="0.3"/>
  <pageSetup horizontalDpi="600" verticalDpi="600" orientation="landscape" r:id="rId1"/>
  <headerFooter scaleWithDoc="0">
    <oddFooter>&amp;L&amp;"Arial,Bold"Rev. 5/14&amp;C&amp;"Arial,Bold"FY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shicks</cp:lastModifiedBy>
  <cp:lastPrinted>2014-07-09T18:01:20Z</cp:lastPrinted>
  <dcterms:created xsi:type="dcterms:W3CDTF">1997-10-08T16:25:08Z</dcterms:created>
  <dcterms:modified xsi:type="dcterms:W3CDTF">2015-04-30T17:03:49Z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2015</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